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3609B563-F892-4BE1-A800-DE7F1940C422}" xr6:coauthVersionLast="47" xr6:coauthVersionMax="47" xr10:uidLastSave="{00000000-0000-0000-0000-000000000000}"/>
  <bookViews>
    <workbookView xWindow="-108" yWindow="-108" windowWidth="23256" windowHeight="12720" xr2:uid="{B4F3012E-0196-4EF2-B3B3-02DDC01EB04E}"/>
  </bookViews>
  <sheets>
    <sheet name="3-Nov" sheetId="1" r:id="rId1"/>
  </sheets>
  <externalReferences>
    <externalReference r:id="rId2"/>
  </externalReferences>
  <definedNames>
    <definedName name="newbasicPB4">[1]Sheet1!$T$4:$T$37</definedName>
    <definedName name="oldbasicPB4">[1]Sheet1!$S$4:$S$37</definedName>
    <definedName name="_xlnm.Print_Area" localSheetId="0">'3-Nov'!$A$1:$I$47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35" i="1" l="1"/>
  <c r="D131" i="1"/>
  <c r="D137" i="1" s="1"/>
  <c r="E95" i="1"/>
  <c r="E93" i="1"/>
  <c r="E91" i="1"/>
  <c r="E84" i="1"/>
  <c r="E86" i="1" s="1"/>
  <c r="H82" i="1"/>
  <c r="H83" i="1" s="1"/>
  <c r="H81" i="1"/>
  <c r="H80" i="1"/>
  <c r="H79" i="1"/>
  <c r="E78" i="1"/>
  <c r="C74" i="1"/>
  <c r="E82" i="1" s="1"/>
  <c r="K72" i="1"/>
  <c r="K71" i="1"/>
  <c r="E65" i="1"/>
  <c r="H44" i="1"/>
  <c r="L43" i="1"/>
  <c r="M30" i="1"/>
  <c r="B30" i="1"/>
  <c r="M29" i="1"/>
  <c r="B27" i="1"/>
  <c r="G26" i="1"/>
  <c r="E24" i="1"/>
  <c r="E23" i="1"/>
  <c r="F21" i="1"/>
  <c r="D21" i="1"/>
  <c r="L17" i="1"/>
  <c r="G17" i="1" s="1"/>
  <c r="G16" i="1"/>
  <c r="G15" i="1"/>
  <c r="H13" i="1"/>
  <c r="G8" i="1"/>
  <c r="G7" i="1"/>
  <c r="G9" i="1" s="1"/>
  <c r="G4" i="1"/>
  <c r="H50" i="1" s="1"/>
  <c r="I2" i="1"/>
  <c r="K1" i="1"/>
  <c r="G10" i="1" l="1"/>
  <c r="H10" i="1" s="1"/>
  <c r="H51" i="1" s="1"/>
  <c r="H53" i="1" s="1"/>
  <c r="H55" i="1" s="1"/>
  <c r="G22" i="1"/>
  <c r="H17" i="1"/>
  <c r="H52" i="1" s="1"/>
  <c r="F22" i="1"/>
  <c r="G23" i="1" s="1"/>
  <c r="H5" i="1"/>
  <c r="H56" i="1" l="1"/>
  <c r="H57" i="1" s="1"/>
  <c r="L47" i="1"/>
  <c r="H19" i="1"/>
  <c r="L48" i="1"/>
  <c r="H27" i="1"/>
  <c r="H58" i="1" l="1"/>
  <c r="H59" i="1" s="1"/>
  <c r="E28" i="1"/>
  <c r="H28" i="1" s="1"/>
  <c r="M48" i="1"/>
  <c r="M49" i="1" s="1"/>
  <c r="M33" i="1" l="1"/>
  <c r="M34" i="1" s="1"/>
  <c r="E30" i="1"/>
  <c r="G30" i="1" s="1"/>
  <c r="G32" i="1" s="1"/>
  <c r="H33" i="1" s="1"/>
  <c r="H34" i="1" s="1"/>
  <c r="M50" i="1"/>
  <c r="M51" i="1" s="1"/>
  <c r="M52" i="1" l="1"/>
  <c r="H35" i="1"/>
  <c r="H36" i="1" l="1"/>
  <c r="H37" i="1" s="1"/>
  <c r="E64" i="1" l="1"/>
  <c r="E66" i="1" l="1"/>
  <c r="E67" i="1" s="1"/>
  <c r="E90" i="1"/>
  <c r="E96" i="1" s="1"/>
  <c r="E97" i="1" s="1"/>
  <c r="H91" i="1" s="1"/>
  <c r="E77" i="1"/>
  <c r="E79" i="1" s="1"/>
  <c r="E83" i="1" l="1"/>
  <c r="E81" i="1"/>
  <c r="H92" i="1"/>
  <c r="H93" i="1" s="1"/>
  <c r="E69" i="1"/>
  <c r="F69" i="1" s="1"/>
  <c r="G69" i="1" s="1"/>
  <c r="H69" i="1" s="1"/>
  <c r="E72" i="1"/>
  <c r="F72" i="1" s="1"/>
  <c r="G72" i="1" s="1"/>
  <c r="H72" i="1" s="1"/>
  <c r="E71" i="1"/>
  <c r="F71" i="1" s="1"/>
  <c r="G71" i="1" s="1"/>
  <c r="H71" i="1" s="1"/>
  <c r="E70" i="1"/>
  <c r="F70" i="1" s="1"/>
  <c r="G70" i="1" s="1"/>
  <c r="H70" i="1" s="1"/>
  <c r="H96" i="1" l="1"/>
  <c r="E87" i="1"/>
  <c r="F87" i="1" s="1"/>
  <c r="F83" i="1"/>
  <c r="K93" i="1" l="1"/>
  <c r="K94" i="1" s="1"/>
  <c r="H38" i="1"/>
  <c r="H40" i="1" s="1"/>
  <c r="H45" i="1" s="1"/>
  <c r="B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BDF9EDE3-890C-4581-8BA1-69C90CD56D74}">
      <text>
        <r>
          <rPr>
            <b/>
            <sz val="8"/>
            <color indexed="81"/>
            <rFont val="Tahoma"/>
            <family val="2"/>
          </rPr>
          <t>RATHORE:</t>
        </r>
        <r>
          <rPr>
            <sz val="8"/>
            <color indexed="81"/>
            <rFont val="Tahoma"/>
            <family val="2"/>
          </rPr>
          <t xml:space="preserve">
</t>
        </r>
      </text>
    </comment>
    <comment ref="C42" authorId="0" shapeId="0" xr:uid="{36B487E5-6FBE-4DFC-A283-2DDAC96469D2}">
      <text>
        <r>
          <rPr>
            <b/>
            <sz val="8"/>
            <color indexed="81"/>
            <rFont val="Tahoma"/>
            <family val="2"/>
          </rPr>
          <t>RATHORE:</t>
        </r>
        <r>
          <rPr>
            <sz val="8"/>
            <color indexed="81"/>
            <rFont val="Tahoma"/>
            <family val="2"/>
          </rPr>
          <t xml:space="preserve">
</t>
        </r>
      </text>
    </comment>
    <comment ref="B45" authorId="0" shapeId="0" xr:uid="{43B74961-C2F0-4CFF-8915-F6DE416EEF66}">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<sst xmlns="http://schemas.openxmlformats.org/spreadsheetml/2006/main" count="266" uniqueCount="239">
  <si>
    <t>Dr. V.K. Singhania's Book</t>
  </si>
  <si>
    <t xml:space="preserve">A S S E S S M E N T   Y E A R  :  2 0 2 1 - 2 2 </t>
  </si>
  <si>
    <t>Filing Date</t>
  </si>
  <si>
    <t>65th Edition:  August-2021</t>
  </si>
  <si>
    <t>Case Study-3</t>
  </si>
  <si>
    <t>Pgs  529-530</t>
  </si>
  <si>
    <t>Mohan Dasgupta</t>
  </si>
  <si>
    <r>
      <t xml:space="preserve">SALARIES </t>
    </r>
    <r>
      <rPr>
        <sz val="10"/>
        <color theme="1"/>
        <rFont val="Arial"/>
        <family val="2"/>
      </rPr>
      <t>U/S 15-17</t>
    </r>
  </si>
  <si>
    <t>Amount (Rs.)</t>
  </si>
  <si>
    <t xml:space="preserve">Due date </t>
  </si>
  <si>
    <t>Sec 17(1)</t>
  </si>
  <si>
    <t xml:space="preserve">Basic Salary and Allowances (Pension) </t>
  </si>
  <si>
    <t xml:space="preserve">Pension  (Ex-Employer) </t>
  </si>
  <si>
    <t>Sec 16(ia)</t>
  </si>
  <si>
    <t>Less Standard  Deduction</t>
  </si>
  <si>
    <t>System Date</t>
  </si>
  <si>
    <r>
      <t xml:space="preserve">HOUSE PROPERTY </t>
    </r>
    <r>
      <rPr>
        <sz val="10"/>
        <color theme="1"/>
        <rFont val="Arial"/>
        <family val="2"/>
      </rPr>
      <t>U/S 22-27</t>
    </r>
  </si>
  <si>
    <t>Let-Out</t>
  </si>
  <si>
    <r>
      <t xml:space="preserve">Naveen Motors </t>
    </r>
    <r>
      <rPr>
        <sz val="9"/>
        <color rgb="FF0000FF"/>
        <rFont val="Arial"/>
        <family val="2"/>
      </rPr>
      <t xml:space="preserve">(PAN AAAFN4403G) </t>
    </r>
  </si>
  <si>
    <t>Rate 10%</t>
  </si>
  <si>
    <t>TDS  194-I</t>
  </si>
  <si>
    <t>Rent Received</t>
  </si>
  <si>
    <t>Rent   Received</t>
  </si>
  <si>
    <t>Late Fees</t>
  </si>
  <si>
    <t xml:space="preserve">Less  Municipal Taxes Paid </t>
  </si>
  <si>
    <t>Municipal tax paid</t>
  </si>
  <si>
    <t>Jan-Mar 22</t>
  </si>
  <si>
    <t>Sec 24</t>
  </si>
  <si>
    <t xml:space="preserve">LESS: Deductions </t>
  </si>
  <si>
    <t>Std Ded 30%</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</si>
  <si>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</si>
  <si>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</si>
  <si>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</si>
  <si>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</si>
  <si>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</si>
  <si>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Intt on REC Bonds  (No TDS)</t>
  </si>
  <si>
    <t xml:space="preserve">Accrued Interest on NSCs (03-03-20) </t>
  </si>
  <si>
    <t xml:space="preserve">Accrued Intt on NSCs Rs. 12000 </t>
  </si>
  <si>
    <t>First Year (Rs. 7.90 per 100)</t>
  </si>
  <si>
    <t>GROSS TOTAL INCOME</t>
  </si>
  <si>
    <t xml:space="preserve">LESS: DEDUCTIONS UNDER CHAPTER VI-A </t>
  </si>
  <si>
    <t xml:space="preserve">Sec 80C </t>
  </si>
  <si>
    <t>Public Prov Fund (Cash)</t>
  </si>
  <si>
    <t>Intt on NSCs</t>
  </si>
  <si>
    <t>Rs. 7.90 / 100 * 12000</t>
  </si>
  <si>
    <t xml:space="preserve">Accrued Intt on NSCs (03-03-20) </t>
  </si>
  <si>
    <t>First Yr  Intt</t>
  </si>
  <si>
    <t>Sec 80CCD (1)</t>
  </si>
  <si>
    <t>NPS</t>
  </si>
  <si>
    <t xml:space="preserve">Sec  80CCD(1B) </t>
  </si>
  <si>
    <t xml:space="preserve">Avail First Rs. 50000 u/s  80CCD (1B) </t>
  </si>
  <si>
    <t>Sr Citizen</t>
  </si>
  <si>
    <t>Sec 80D</t>
  </si>
  <si>
    <t>Medical Ins Prem</t>
  </si>
  <si>
    <t>Medical Ins Prem - Self + Spouse</t>
  </si>
  <si>
    <t xml:space="preserve">Sec 80GGC </t>
  </si>
  <si>
    <t xml:space="preserve">Political Donation </t>
  </si>
  <si>
    <t xml:space="preserve">No Cash </t>
  </si>
  <si>
    <t xml:space="preserve">Donation to political Party (Cheque) </t>
  </si>
  <si>
    <t>Sec 80TTB</t>
  </si>
  <si>
    <t xml:space="preserve">Intt on Deposits - Bank / PO Intt </t>
  </si>
  <si>
    <t xml:space="preserve">Donation to political Party (Cash) </t>
  </si>
  <si>
    <t xml:space="preserve">TOTAL  INCOME </t>
  </si>
  <si>
    <t>Rounding Off u/s 288A</t>
  </si>
  <si>
    <t xml:space="preserve">TAX ON TOTAL INCOME </t>
  </si>
  <si>
    <t xml:space="preserve">INCOME  </t>
  </si>
  <si>
    <t>RATE</t>
  </si>
  <si>
    <t>TAX</t>
  </si>
  <si>
    <t>300,000  to  500,000</t>
  </si>
  <si>
    <t>NORMAL INCOME</t>
  </si>
  <si>
    <t>500,000 to 1000,000</t>
  </si>
  <si>
    <t>SPECIAL INCOME</t>
  </si>
  <si>
    <t>Sec 87A</t>
  </si>
  <si>
    <r>
      <t xml:space="preserve">LESS : REBATE  </t>
    </r>
    <r>
      <rPr>
        <sz val="8"/>
        <color theme="1"/>
        <rFont val="Arial Narrow"/>
        <family val="2"/>
      </rPr>
      <t>(Rs. 12500, if Total Income upto Rs. 5 Lakhs)</t>
    </r>
  </si>
  <si>
    <t xml:space="preserve">      Above   1000,000</t>
  </si>
  <si>
    <r>
      <t xml:space="preserve">ADD : SURCHARGE  </t>
    </r>
    <r>
      <rPr>
        <sz val="8"/>
        <color theme="1"/>
        <rFont val="Arial"/>
        <family val="2"/>
      </rPr>
      <t>(10 % / 15% / 25% / 37%)</t>
    </r>
  </si>
  <si>
    <t xml:space="preserve">Not Mandatory, if income not exceedig Rs. 50 Lakhs </t>
  </si>
  <si>
    <t xml:space="preserve">ADD : HEALTH &amp; EDUCATION CESS (4 % on Income Tax + Surcharge) </t>
  </si>
  <si>
    <t>Details of Assets &amp; Liabilities</t>
  </si>
  <si>
    <t xml:space="preserve">Acq Cost </t>
  </si>
  <si>
    <t>Mkt value</t>
  </si>
  <si>
    <r>
      <t>TOTAL TAX PAYABLE</t>
    </r>
    <r>
      <rPr>
        <sz val="10"/>
        <color theme="1"/>
        <rFont val="Arial"/>
        <family val="2"/>
      </rPr>
      <t xml:space="preserve"> (including Surcharge &amp; Cess) </t>
    </r>
  </si>
  <si>
    <t>Resi House Property</t>
  </si>
  <si>
    <t xml:space="preserve">Not Available </t>
  </si>
  <si>
    <r>
      <t>ADD : INTEREST U/S 234A</t>
    </r>
    <r>
      <rPr>
        <sz val="9"/>
        <color rgb="FF0000FF"/>
        <rFont val="Arial"/>
        <family val="2"/>
      </rPr>
      <t xml:space="preserve"> (Sr Citizen)  </t>
    </r>
  </si>
  <si>
    <t>Interest till the Month of making Video i.e Nov-2021</t>
  </si>
  <si>
    <t>Jewellery (1967-68)</t>
  </si>
  <si>
    <t>Not Known</t>
  </si>
  <si>
    <t>26 yrs</t>
  </si>
  <si>
    <t xml:space="preserve">ADD : Late Fees U/S 234F </t>
  </si>
  <si>
    <t>Rs. 5000 (Jan-Mar 2022)</t>
  </si>
  <si>
    <t>Motor Car (Honda City) 2011-12</t>
  </si>
  <si>
    <t>TOTAL TAX AND INTEREST PAYABLE</t>
  </si>
  <si>
    <t>Shares</t>
  </si>
  <si>
    <t xml:space="preserve">TAX PAID U/S 199 : </t>
  </si>
  <si>
    <t xml:space="preserve">Cash in Hand (31-03-20) </t>
  </si>
  <si>
    <t>M.A.</t>
  </si>
  <si>
    <t>Self-Assessment Tax Paid  U/S 140A</t>
  </si>
  <si>
    <t xml:space="preserve">T. D. S.  U/S 192 on Pension </t>
  </si>
  <si>
    <t>Ex-Employer</t>
  </si>
  <si>
    <t xml:space="preserve">Loan taken to purchase Car </t>
  </si>
  <si>
    <t>Chintas</t>
  </si>
  <si>
    <t>79+ yrs</t>
  </si>
  <si>
    <t>Rounding Off u/s 288B</t>
  </si>
  <si>
    <t>Tax Calculations  by Dr SB Rathore,  Associate Professor of Commerce (Oct-77 to Dec-19) in Shyam Lal College (University of Delhi), Delhi-110032</t>
  </si>
  <si>
    <t>TDS to be deducted  by the Employer</t>
  </si>
  <si>
    <t>Website: www.taxclasses.in</t>
  </si>
  <si>
    <t xml:space="preserve">FaceBook: DrSB Rathore </t>
  </si>
  <si>
    <t xml:space="preserve">YouTube: Dr Rathore's tax Video Lectures (No Advertisements) </t>
  </si>
  <si>
    <t xml:space="preserve">Pension after Std Deduction </t>
  </si>
  <si>
    <t>Deds 80C / 80CCD (1B) / 80D</t>
  </si>
  <si>
    <t>New Tax Rates Regime</t>
  </si>
  <si>
    <t xml:space="preserve">Income Tax </t>
  </si>
  <si>
    <t>Salaries</t>
  </si>
  <si>
    <t xml:space="preserve">Surcharge </t>
  </si>
  <si>
    <t>House Property</t>
  </si>
  <si>
    <t xml:space="preserve">HEC </t>
  </si>
  <si>
    <t>Other Sources</t>
  </si>
  <si>
    <t>Total income</t>
  </si>
  <si>
    <t xml:space="preserve">   Upto             2,50,000</t>
  </si>
  <si>
    <t xml:space="preserve">Nil </t>
  </si>
  <si>
    <t>2,50,001   to    5,00,000</t>
  </si>
  <si>
    <t>5,00,001   to    7,50,000</t>
  </si>
  <si>
    <t>7,50,001   to  10,00,000</t>
  </si>
  <si>
    <t>Total Liability</t>
  </si>
  <si>
    <t>10,00,001 to  12,50,000</t>
  </si>
  <si>
    <t>12,50,001  to  15,00,000</t>
  </si>
  <si>
    <t xml:space="preserve">   Above         15,00,000</t>
  </si>
  <si>
    <t>Calculation  of Interest under Sections 234A</t>
  </si>
  <si>
    <t>Total Interest</t>
  </si>
  <si>
    <t xml:space="preserve">No Change </t>
  </si>
  <si>
    <t>Part -B</t>
  </si>
  <si>
    <t>80C - 80GGC</t>
  </si>
  <si>
    <t>Section 234C: In case of Non-Sr Citizen: If  Amount Exceeds Rs. 10000</t>
  </si>
  <si>
    <t>Rebate u/s 87A (if TI upto  5 Lakhs)</t>
  </si>
  <si>
    <t>Part -C</t>
  </si>
  <si>
    <t>80H - 80RRB</t>
  </si>
  <si>
    <t>Total Tax, Surcharge &amp; Cess</t>
  </si>
  <si>
    <t>10%  Surcharge   (TI 50 Lakhs - 100 Lakhs)</t>
  </si>
  <si>
    <t>Part- CA</t>
  </si>
  <si>
    <t>80TTA, 80TTB</t>
  </si>
  <si>
    <t>Less TDS by the Employer, Bank</t>
  </si>
  <si>
    <t>Health &amp; Education Cess @ 4%</t>
  </si>
  <si>
    <t>Part-D</t>
  </si>
  <si>
    <t>80U</t>
  </si>
  <si>
    <t xml:space="preserve">Liability for Advance tax </t>
  </si>
  <si>
    <t>Deposit Date</t>
  </si>
  <si>
    <t xml:space="preserve">Tax Amount </t>
  </si>
  <si>
    <t>Last Date</t>
  </si>
  <si>
    <t xml:space="preserve">Amount </t>
  </si>
  <si>
    <t>Round Down by 100</t>
  </si>
  <si>
    <t xml:space="preserve">Shortfall </t>
  </si>
  <si>
    <t>Interest</t>
  </si>
  <si>
    <t xml:space="preserve">Month </t>
  </si>
  <si>
    <t>Interest u/s 234C</t>
  </si>
  <si>
    <t>Oct</t>
  </si>
  <si>
    <t>NIL</t>
  </si>
  <si>
    <t xml:space="preserve">Nov </t>
  </si>
  <si>
    <t xml:space="preserve">Dec </t>
  </si>
  <si>
    <t>Section 234B:  If  Amount Exceeds Rs. 10000 (Less than 90 %.....)</t>
  </si>
  <si>
    <t xml:space="preserve"> Tax Liability after TDS</t>
  </si>
  <si>
    <t>Advance Tax   till 31-03-2021</t>
  </si>
  <si>
    <t>Interest u/s 234B</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</si>
  <si>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</si>
  <si>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</si>
  <si>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</si>
  <si>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</si>
  <si>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</si>
  <si>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</si>
  <si>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</si>
  <si>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Interest u/s 234A</t>
  </si>
  <si>
    <t>Add Interest u/s 234C till 31-03-2021</t>
  </si>
  <si>
    <t>Nov</t>
  </si>
  <si>
    <t>Add Interest u/s 234B till 30-04-2021</t>
  </si>
  <si>
    <t>Less Self-Assessment Tax on 21-04-21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</si>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</sst>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71" x14ac:knownFonts="1">
    <font>
      <sz val="10"/>
      <name val="Arial"/>
    </font>
    <font>
      <sz val="10"/>
      <name val="Arial"/>
      <family val="2"/>
    </font>
    <font>
      <b/>
      <sz val="8"/>
      <color rgb="FF2B0CE4"/>
      <name val="Arial"/>
      <family val="2"/>
    </font>
    <font>
      <sz val="11"/>
      <color theme="1"/>
      <name val="Arial"/>
      <family val="2"/>
    </font>
    <font>
      <sz val="10"/>
      <color rgb="FFC00000"/>
      <name val="Arial"/>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sz val="9"/>
      <name val="Arial"/>
      <family val="2"/>
    </font>
    <font>
      <b/>
      <sz val="8"/>
      <name val="Arial"/>
      <family val="2"/>
    </font>
    <font>
      <i/>
      <sz val="10"/>
      <color theme="1"/>
      <name val="Arial"/>
      <family val="2"/>
    </font>
    <font>
      <sz val="9"/>
      <color rgb="FF7030A0"/>
      <name val="Arial"/>
      <family val="2"/>
    </font>
    <font>
      <sz val="8"/>
      <color theme="1"/>
      <name val="Arial Narrow"/>
      <family val="2"/>
    </font>
    <font>
      <sz val="10"/>
      <color theme="3" tint="-0.249977111117893"/>
      <name val="Arial"/>
      <family val="2"/>
    </font>
    <font>
      <i/>
      <sz val="9"/>
      <color rgb="FF0000FF"/>
      <name val="Arial"/>
      <family val="2"/>
    </font>
    <font>
      <b/>
      <sz val="10"/>
      <color rgb="FF0000FF"/>
      <name val="Arial"/>
      <family val="2"/>
    </font>
    <font>
      <u/>
      <sz val="10"/>
      <color theme="1"/>
      <name val="Arial"/>
      <family val="2"/>
    </font>
    <font>
      <i/>
      <u/>
      <sz val="10"/>
      <color theme="1"/>
      <name val="Arial"/>
      <family val="2"/>
    </font>
    <font>
      <i/>
      <sz val="9"/>
      <color theme="1"/>
      <name val="Arial"/>
      <family val="2"/>
    </font>
    <font>
      <i/>
      <sz val="10"/>
      <color rgb="FF0000FF"/>
      <name val="Arial"/>
      <family val="2"/>
    </font>
    <font>
      <b/>
      <sz val="10"/>
      <color rgb="FFC00000"/>
      <name val="Arial"/>
      <family val="2"/>
    </font>
    <font>
      <sz val="8"/>
      <color rgb="FF0000FF"/>
      <name val="Arial"/>
      <family val="2"/>
    </font>
    <font>
      <i/>
      <sz val="8"/>
      <color theme="1"/>
      <name val="Arial"/>
      <family val="2"/>
    </font>
    <font>
      <b/>
      <u/>
      <sz val="9"/>
      <color rgb="FFC00000"/>
      <name val="Arial"/>
      <family val="2"/>
    </font>
    <font>
      <b/>
      <sz val="10"/>
      <color rgb="FFC00000"/>
      <name val="Arial Narrow"/>
      <family val="2"/>
    </font>
    <font>
      <b/>
      <sz val="10"/>
      <name val="Arial"/>
      <family val="2"/>
    </font>
    <font>
      <sz val="8"/>
      <color rgb="FFC00000"/>
      <name val="Arial"/>
      <family val="2"/>
    </font>
    <font>
      <sz val="10"/>
      <color rgb="FFC00000"/>
      <name val="Arial Narrow"/>
      <family val="2"/>
    </font>
    <font>
      <sz val="9"/>
      <color rgb="FF00B0F0"/>
      <name val="Arial"/>
      <family val="2"/>
    </font>
    <font>
      <sz val="10"/>
      <color theme="1"/>
      <name val="Arial Narrow"/>
      <family val="2"/>
    </font>
    <font>
      <sz val="9"/>
      <color theme="1"/>
      <name val="Arial Narrow"/>
      <family val="2"/>
    </font>
    <font>
      <b/>
      <sz val="9"/>
      <color theme="7" tint="-0.249977111117893"/>
      <name val="Arial"/>
      <family val="2"/>
    </font>
    <font>
      <sz val="8"/>
      <color rgb="FF2B0CE4"/>
      <name val="Arial Narrow"/>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8"/>
      <name val="Arial"/>
      <family val="2"/>
    </font>
    <font>
      <sz val="9"/>
      <color theme="8" tint="-0.249977111117893"/>
      <name val="Arial"/>
      <family val="2"/>
    </font>
    <font>
      <b/>
      <sz val="10"/>
      <color theme="4" tint="-0.249977111117893"/>
      <name val="Arial"/>
      <family val="2"/>
    </font>
    <font>
      <b/>
      <sz val="10"/>
      <color indexed="12"/>
      <name val="Arial"/>
      <family val="2"/>
    </font>
    <font>
      <b/>
      <sz val="9"/>
      <color rgb="FF0000FF"/>
      <name val="Arial"/>
      <family val="2"/>
    </font>
    <font>
      <b/>
      <sz val="10"/>
      <color rgb="FF00B050"/>
      <name val="Arial"/>
      <family val="2"/>
    </font>
    <font>
      <b/>
      <sz val="9"/>
      <color theme="9" tint="-0.249977111117893"/>
      <name val="Arial"/>
      <family val="2"/>
    </font>
    <font>
      <sz val="10"/>
      <color indexed="12"/>
      <name val="Arial"/>
      <family val="2"/>
    </font>
    <font>
      <sz val="10"/>
      <color rgb="FFFF0000"/>
      <name val="Arial"/>
      <family val="2"/>
    </font>
    <font>
      <i/>
      <sz val="10"/>
      <name val="Arial"/>
      <family val="2"/>
    </font>
    <font>
      <b/>
      <sz val="9"/>
      <color rgb="FFC00000"/>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theme="6" tint="0.79998168889431442"/>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99">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6" fillId="0" borderId="4" xfId="0" applyFont="1" applyBorder="1" applyAlignment="1">
      <alignment horizontal="center"/>
    </xf>
    <xf numFmtId="0" fontId="7" fillId="0" borderId="5" xfId="2" applyFont="1" applyBorder="1" applyAlignment="1">
      <alignment horizontal="center" shrinkToFit="1"/>
    </xf>
    <xf numFmtId="0" fontId="7" fillId="0" borderId="6" xfId="2" applyFont="1" applyBorder="1" applyAlignment="1">
      <alignment horizontal="center" shrinkToFit="1"/>
    </xf>
    <xf numFmtId="0" fontId="8" fillId="0" borderId="6" xfId="2" applyFont="1" applyBorder="1" applyAlignment="1">
      <alignment horizontal="center"/>
    </xf>
    <xf numFmtId="0" fontId="9" fillId="0" borderId="6" xfId="2" applyFont="1" applyBorder="1" applyAlignment="1">
      <alignment horizontal="center"/>
    </xf>
    <xf numFmtId="0" fontId="10" fillId="0" borderId="6" xfId="0" applyFont="1" applyBorder="1" applyAlignment="1">
      <alignment horizontal="center"/>
    </xf>
    <xf numFmtId="15" fontId="11" fillId="0" borderId="6" xfId="2" applyNumberFormat="1" applyFont="1" applyBorder="1" applyAlignment="1">
      <alignment horizontal="center"/>
    </xf>
    <xf numFmtId="1" fontId="12" fillId="2" borderId="7" xfId="0" applyNumberFormat="1" applyFont="1" applyFill="1" applyBorder="1" applyAlignment="1">
      <alignment horizontal="center" shrinkToFit="1"/>
    </xf>
    <xf numFmtId="15" fontId="6" fillId="0" borderId="8" xfId="0" applyNumberFormat="1" applyFont="1" applyBorder="1" applyAlignment="1">
      <alignment horizontal="center"/>
    </xf>
    <xf numFmtId="1" fontId="9" fillId="0" borderId="9" xfId="0" applyNumberFormat="1" applyFont="1" applyBorder="1" applyAlignment="1">
      <alignment shrinkToFit="1"/>
    </xf>
    <xf numFmtId="0" fontId="13" fillId="0" borderId="0" xfId="0" applyFont="1"/>
    <xf numFmtId="0" fontId="5" fillId="0" borderId="10" xfId="0" applyFont="1" applyBorder="1"/>
    <xf numFmtId="0" fontId="14" fillId="0" borderId="0" xfId="0" applyFont="1" applyAlignment="1">
      <alignment horizontal="center"/>
    </xf>
    <xf numFmtId="0" fontId="14" fillId="0" borderId="11" xfId="0" applyFont="1" applyBorder="1" applyAlignment="1">
      <alignment horizontal="center"/>
    </xf>
    <xf numFmtId="0" fontId="11" fillId="0" borderId="8" xfId="0" applyFont="1" applyBorder="1" applyAlignment="1">
      <alignment horizontal="center"/>
    </xf>
    <xf numFmtId="0" fontId="9" fillId="0" borderId="9" xfId="0" applyFont="1" applyBorder="1" applyAlignment="1">
      <alignment shrinkToFit="1"/>
    </xf>
    <xf numFmtId="0" fontId="9" fillId="0" borderId="0" xfId="0" applyFont="1"/>
    <xf numFmtId="0" fontId="15" fillId="0" borderId="0" xfId="0" applyFont="1" applyAlignment="1">
      <alignment horizontal="left"/>
    </xf>
    <xf numFmtId="1" fontId="5" fillId="3" borderId="10" xfId="0" applyNumberFormat="1" applyFont="1" applyFill="1" applyBorder="1"/>
    <xf numFmtId="1" fontId="16" fillId="0" borderId="0" xfId="0" applyNumberFormat="1" applyFont="1"/>
    <xf numFmtId="1" fontId="16" fillId="0" borderId="11" xfId="0" applyNumberFormat="1" applyFont="1" applyBorder="1"/>
    <xf numFmtId="1" fontId="5" fillId="0" borderId="0" xfId="0" applyNumberFormat="1" applyFont="1"/>
    <xf numFmtId="15" fontId="11" fillId="0" borderId="8" xfId="0" applyNumberFormat="1" applyFont="1" applyBorder="1" applyAlignment="1">
      <alignment horizontal="center"/>
    </xf>
    <xf numFmtId="0" fontId="15" fillId="0" borderId="0" xfId="0" applyFont="1"/>
    <xf numFmtId="1" fontId="5" fillId="3" borderId="12" xfId="0" applyNumberFormat="1" applyFont="1" applyFill="1" applyBorder="1"/>
    <xf numFmtId="0" fontId="9" fillId="0" borderId="8" xfId="0" applyFont="1" applyBorder="1"/>
    <xf numFmtId="0" fontId="8" fillId="0" borderId="0" xfId="0" applyFont="1"/>
    <xf numFmtId="0" fontId="5" fillId="4" borderId="0" xfId="0" applyFont="1" applyFill="1"/>
    <xf numFmtId="0" fontId="4" fillId="4" borderId="0" xfId="0" applyFont="1" applyFill="1" applyAlignment="1">
      <alignment horizontal="center"/>
    </xf>
    <xf numFmtId="0" fontId="15" fillId="0" borderId="0" xfId="0" applyFont="1" applyAlignment="1">
      <alignment horizontal="center"/>
    </xf>
    <xf numFmtId="15" fontId="15" fillId="0" borderId="13" xfId="0" applyNumberFormat="1" applyFont="1" applyBorder="1" applyAlignment="1">
      <alignment horizontal="center"/>
    </xf>
    <xf numFmtId="0" fontId="17" fillId="0" borderId="0" xfId="0" applyFont="1" applyAlignment="1">
      <alignment horizontal="left"/>
    </xf>
    <xf numFmtId="0" fontId="5" fillId="0" borderId="0" xfId="0" applyFont="1" applyAlignment="1">
      <alignment horizontal="left"/>
    </xf>
    <xf numFmtId="0" fontId="5" fillId="5" borderId="0" xfId="0" applyFont="1" applyFill="1" applyAlignment="1">
      <alignment horizontal="right"/>
    </xf>
    <xf numFmtId="1" fontId="16" fillId="0" borderId="14" xfId="0" applyNumberFormat="1" applyFont="1" applyBorder="1"/>
    <xf numFmtId="0" fontId="5" fillId="4" borderId="0" xfId="2" applyFont="1" applyFill="1"/>
    <xf numFmtId="0" fontId="18" fillId="6" borderId="4" xfId="0" applyFont="1" applyFill="1" applyBorder="1" applyAlignment="1">
      <alignment horizontal="center"/>
    </xf>
    <xf numFmtId="0" fontId="17" fillId="0" borderId="0" xfId="0" applyFont="1"/>
    <xf numFmtId="0" fontId="5" fillId="5" borderId="12" xfId="0" applyFont="1" applyFill="1" applyBorder="1"/>
    <xf numFmtId="0" fontId="19" fillId="4" borderId="0" xfId="2" applyFont="1" applyFill="1"/>
    <xf numFmtId="17" fontId="20" fillId="0" borderId="8" xfId="0" applyNumberFormat="1" applyFont="1" applyBorder="1" applyAlignment="1">
      <alignment horizontal="center"/>
    </xf>
    <xf numFmtId="1" fontId="5" fillId="0" borderId="0" xfId="0" applyNumberFormat="1" applyFont="1" applyAlignment="1">
      <alignment horizontal="right"/>
    </xf>
    <xf numFmtId="0" fontId="20" fillId="0" borderId="13" xfId="0" applyFont="1" applyBorder="1" applyAlignment="1">
      <alignment horizontal="center"/>
    </xf>
    <xf numFmtId="0" fontId="5" fillId="5" borderId="0" xfId="0" applyFont="1" applyFill="1"/>
    <xf numFmtId="0" fontId="5" fillId="5" borderId="15" xfId="0" applyFont="1" applyFill="1" applyBorder="1"/>
    <xf numFmtId="0" fontId="21" fillId="0" borderId="0" xfId="0" applyFont="1" applyAlignment="1">
      <alignment horizontal="center"/>
    </xf>
    <xf numFmtId="10" fontId="15" fillId="0" borderId="0" xfId="0" applyNumberFormat="1" applyFont="1" applyAlignment="1">
      <alignment horizontal="center"/>
    </xf>
    <xf numFmtId="0" fontId="22" fillId="0" borderId="0" xfId="0" applyFont="1"/>
    <xf numFmtId="1" fontId="16" fillId="0" borderId="16" xfId="0" applyNumberFormat="1" applyFont="1" applyBorder="1"/>
    <xf numFmtId="1" fontId="16" fillId="0" borderId="17" xfId="0" applyNumberFormat="1" applyFont="1" applyBorder="1"/>
    <xf numFmtId="0" fontId="23" fillId="0" borderId="0" xfId="0" applyFont="1" applyAlignment="1">
      <alignment horizontal="left" vertical="top" indent="2"/>
    </xf>
    <xf numFmtId="14" fontId="10" fillId="0" borderId="0" xfId="0" applyNumberFormat="1" applyFont="1"/>
    <xf numFmtId="1" fontId="24" fillId="0" borderId="11" xfId="0" applyNumberFormat="1" applyFont="1" applyBorder="1"/>
    <xf numFmtId="0" fontId="25" fillId="0" borderId="0" xfId="0" applyFont="1"/>
    <xf numFmtId="0" fontId="26" fillId="0" borderId="0" xfId="0" applyFont="1"/>
    <xf numFmtId="0" fontId="8" fillId="0" borderId="0" xfId="0" applyFont="1" applyAlignment="1">
      <alignment horizontal="left"/>
    </xf>
    <xf numFmtId="0" fontId="9" fillId="0" borderId="0" xfId="0" applyFont="1" applyAlignment="1">
      <alignment horizontal="center"/>
    </xf>
    <xf numFmtId="0" fontId="23" fillId="0" borderId="0" xfId="0" applyFont="1" applyAlignment="1">
      <alignment horizontal="center"/>
    </xf>
    <xf numFmtId="0" fontId="8" fillId="0" borderId="0" xfId="0" applyFont="1" applyAlignment="1">
      <alignment horizontal="left"/>
    </xf>
    <xf numFmtId="0" fontId="27" fillId="0" borderId="0" xfId="0" applyFont="1"/>
    <xf numFmtId="0" fontId="23" fillId="0" borderId="0" xfId="0" applyFont="1" applyAlignment="1">
      <alignment horizontal="left" vertical="top"/>
    </xf>
    <xf numFmtId="0" fontId="6" fillId="0" borderId="0" xfId="0" applyFont="1"/>
    <xf numFmtId="0" fontId="28" fillId="0" borderId="0" xfId="0" applyFont="1" applyAlignment="1">
      <alignment horizontal="left"/>
    </xf>
    <xf numFmtId="0" fontId="16" fillId="0" borderId="0" xfId="0" applyFont="1" applyAlignment="1">
      <alignment vertical="center"/>
    </xf>
    <xf numFmtId="1" fontId="21" fillId="0" borderId="0" xfId="0" applyNumberFormat="1" applyFont="1" applyAlignment="1">
      <alignment horizontal="left"/>
    </xf>
    <xf numFmtId="0" fontId="21" fillId="0" borderId="0" xfId="0" applyFont="1" applyAlignment="1">
      <alignment horizontal="left"/>
    </xf>
    <xf numFmtId="0" fontId="9" fillId="0" borderId="0" xfId="0" applyFont="1" applyAlignment="1">
      <alignment horizontal="right"/>
    </xf>
    <xf numFmtId="1" fontId="16" fillId="6" borderId="18" xfId="0" applyNumberFormat="1" applyFont="1" applyFill="1" applyBorder="1"/>
    <xf numFmtId="1" fontId="16" fillId="6" borderId="19" xfId="0" applyNumberFormat="1" applyFont="1" applyFill="1" applyBorder="1"/>
    <xf numFmtId="0" fontId="29" fillId="7" borderId="0" xfId="0" applyFont="1" applyFill="1" applyAlignment="1">
      <alignment horizontal="left"/>
    </xf>
    <xf numFmtId="0" fontId="5" fillId="7" borderId="0" xfId="0" applyFont="1" applyFill="1"/>
    <xf numFmtId="0" fontId="16" fillId="0" borderId="0" xfId="0" applyFont="1"/>
    <xf numFmtId="0" fontId="8" fillId="0" borderId="0" xfId="0" applyFont="1" applyAlignment="1">
      <alignment horizontal="right"/>
    </xf>
    <xf numFmtId="0" fontId="8" fillId="0" borderId="0" xfId="0" applyFont="1" applyAlignment="1">
      <alignment horizontal="center"/>
    </xf>
    <xf numFmtId="0" fontId="15" fillId="0" borderId="14" xfId="0" applyFont="1" applyBorder="1"/>
    <xf numFmtId="0" fontId="15" fillId="0" borderId="11" xfId="0" applyFont="1" applyBorder="1"/>
    <xf numFmtId="0" fontId="5" fillId="7" borderId="0" xfId="0" applyFont="1" applyFill="1" applyAlignment="1">
      <alignment horizontal="left" indent="1"/>
    </xf>
    <xf numFmtId="9" fontId="5" fillId="7" borderId="0" xfId="0" applyNumberFormat="1" applyFont="1" applyFill="1" applyAlignment="1">
      <alignment horizontal="center"/>
    </xf>
    <xf numFmtId="0" fontId="30" fillId="0" borderId="0" xfId="0" applyFont="1" applyAlignment="1">
      <alignment shrinkToFit="1"/>
    </xf>
    <xf numFmtId="0" fontId="31" fillId="0" borderId="0" xfId="0" applyFont="1" applyAlignment="1">
      <alignment horizontal="right"/>
    </xf>
    <xf numFmtId="1" fontId="5" fillId="5" borderId="0" xfId="0" applyNumberFormat="1" applyFont="1" applyFill="1"/>
    <xf numFmtId="9" fontId="15" fillId="0" borderId="0" xfId="0" applyNumberFormat="1" applyFont="1" applyAlignment="1">
      <alignment horizontal="center"/>
    </xf>
    <xf numFmtId="0" fontId="5" fillId="0" borderId="14" xfId="0" applyFont="1" applyBorder="1"/>
    <xf numFmtId="0" fontId="5" fillId="0" borderId="11" xfId="0" applyFont="1" applyBorder="1"/>
    <xf numFmtId="0" fontId="5" fillId="7" borderId="0" xfId="0" applyFont="1" applyFill="1" applyAlignment="1">
      <alignment horizontal="center"/>
    </xf>
    <xf numFmtId="0" fontId="5" fillId="0" borderId="0" xfId="0" applyFont="1" applyAlignment="1">
      <alignment horizontal="right"/>
    </xf>
    <xf numFmtId="1" fontId="16" fillId="0" borderId="14" xfId="0" applyNumberFormat="1" applyFont="1" applyBorder="1" applyAlignment="1">
      <alignment horizontal="right"/>
    </xf>
    <xf numFmtId="1" fontId="16" fillId="0" borderId="11" xfId="0" applyNumberFormat="1" applyFont="1" applyBorder="1" applyAlignment="1">
      <alignment horizontal="right"/>
    </xf>
    <xf numFmtId="0" fontId="5" fillId="0" borderId="12" xfId="0" applyFont="1" applyBorder="1" applyAlignment="1">
      <alignment horizontal="right"/>
    </xf>
    <xf numFmtId="1" fontId="5" fillId="0" borderId="14" xfId="0" applyNumberFormat="1" applyFont="1" applyBorder="1" applyAlignment="1">
      <alignment horizontal="right"/>
    </xf>
    <xf numFmtId="1" fontId="5" fillId="0" borderId="11" xfId="0" applyNumberFormat="1" applyFont="1" applyBorder="1" applyAlignment="1">
      <alignment horizontal="right"/>
    </xf>
    <xf numFmtId="9" fontId="10" fillId="0" borderId="0" xfId="0" applyNumberFormat="1" applyFont="1" applyAlignment="1">
      <alignment horizontal="center"/>
    </xf>
    <xf numFmtId="1" fontId="5" fillId="0" borderId="16" xfId="0" applyNumberFormat="1" applyFont="1" applyBorder="1" applyAlignment="1">
      <alignment horizontal="right"/>
    </xf>
    <xf numFmtId="1" fontId="5" fillId="0" borderId="17" xfId="0" applyNumberFormat="1" applyFont="1" applyBorder="1" applyAlignment="1">
      <alignment horizontal="right"/>
    </xf>
    <xf numFmtId="0" fontId="16" fillId="7" borderId="20" xfId="0" applyFont="1" applyFill="1" applyBorder="1"/>
    <xf numFmtId="0" fontId="32" fillId="8" borderId="0" xfId="0" applyFont="1" applyFill="1" applyAlignment="1">
      <alignment horizontal="left"/>
    </xf>
    <xf numFmtId="0" fontId="5" fillId="8" borderId="0" xfId="0" applyFont="1" applyFill="1"/>
    <xf numFmtId="0" fontId="5" fillId="8" borderId="0" xfId="0" applyFont="1" applyFill="1" applyAlignment="1">
      <alignment horizontal="left"/>
    </xf>
    <xf numFmtId="0" fontId="15" fillId="8" borderId="0" xfId="0" applyFont="1" applyFill="1" applyAlignment="1">
      <alignment horizontal="center"/>
    </xf>
    <xf numFmtId="0" fontId="31" fillId="8" borderId="0" xfId="0" applyFont="1" applyFill="1" applyAlignment="1">
      <alignment horizontal="center"/>
    </xf>
    <xf numFmtId="1" fontId="15" fillId="8" borderId="0" xfId="0" applyNumberFormat="1" applyFont="1" applyFill="1" applyAlignment="1">
      <alignment horizontal="left" indent="1"/>
    </xf>
    <xf numFmtId="1" fontId="5" fillId="8" borderId="0" xfId="0" applyNumberFormat="1" applyFont="1" applyFill="1"/>
    <xf numFmtId="1" fontId="31" fillId="8" borderId="0" xfId="0" applyNumberFormat="1" applyFont="1" applyFill="1" applyAlignment="1">
      <alignment horizontal="center"/>
    </xf>
    <xf numFmtId="0" fontId="9" fillId="0" borderId="0" xfId="0" applyFont="1" applyAlignment="1">
      <alignment shrinkToFit="1"/>
    </xf>
    <xf numFmtId="0" fontId="33" fillId="0" borderId="0" xfId="0" applyFont="1" applyAlignment="1">
      <alignment horizontal="left"/>
    </xf>
    <xf numFmtId="0" fontId="30" fillId="0" borderId="0" xfId="0" applyFont="1" applyAlignment="1">
      <alignment horizontal="right"/>
    </xf>
    <xf numFmtId="1" fontId="34" fillId="0" borderId="14" xfId="0" applyNumberFormat="1" applyFont="1" applyBorder="1" applyAlignment="1">
      <alignment horizontal="right"/>
    </xf>
    <xf numFmtId="1" fontId="5" fillId="0" borderId="16" xfId="0" applyNumberFormat="1" applyFont="1" applyBorder="1"/>
    <xf numFmtId="1" fontId="5" fillId="0" borderId="17" xfId="0" applyNumberFormat="1" applyFont="1" applyBorder="1"/>
    <xf numFmtId="1" fontId="15" fillId="8" borderId="0" xfId="0" applyNumberFormat="1" applyFont="1" applyFill="1" applyAlignment="1">
      <alignment horizontal="center"/>
    </xf>
    <xf numFmtId="1" fontId="15" fillId="8" borderId="0" xfId="0" applyNumberFormat="1" applyFont="1" applyFill="1"/>
    <xf numFmtId="0" fontId="35" fillId="0" borderId="9" xfId="0" applyFont="1" applyBorder="1" applyAlignment="1">
      <alignment horizontal="center" shrinkToFit="1"/>
    </xf>
    <xf numFmtId="15" fontId="6" fillId="0" borderId="0" xfId="2" applyNumberFormat="1" applyFont="1" applyAlignment="1">
      <alignment horizontal="center"/>
    </xf>
    <xf numFmtId="0" fontId="36" fillId="0" borderId="0" xfId="0" applyFont="1" applyAlignment="1">
      <alignment horizontal="left" shrinkToFit="1"/>
    </xf>
    <xf numFmtId="1" fontId="37" fillId="0" borderId="0" xfId="0" applyNumberFormat="1" applyFont="1" applyAlignment="1">
      <alignment horizontal="center"/>
    </xf>
    <xf numFmtId="0" fontId="38" fillId="0" borderId="0" xfId="0" applyFont="1" applyAlignment="1">
      <alignment horizontal="left" shrinkToFit="1"/>
    </xf>
    <xf numFmtId="0" fontId="38" fillId="0" borderId="0" xfId="0" applyFont="1" applyAlignment="1">
      <alignment horizontal="left" shrinkToFit="1"/>
    </xf>
    <xf numFmtId="0" fontId="39" fillId="0" borderId="0" xfId="0" applyFont="1" applyAlignment="1">
      <alignment horizontal="left" shrinkToFit="1"/>
    </xf>
    <xf numFmtId="1" fontId="5" fillId="8" borderId="20" xfId="0" applyNumberFormat="1" applyFont="1" applyFill="1" applyBorder="1"/>
    <xf numFmtId="0" fontId="4" fillId="8" borderId="0" xfId="0" applyFont="1" applyFill="1"/>
    <xf numFmtId="1" fontId="5" fillId="8" borderId="0" xfId="0" applyNumberFormat="1" applyFont="1" applyFill="1" applyAlignment="1">
      <alignment horizontal="center"/>
    </xf>
    <xf numFmtId="1" fontId="9" fillId="0" borderId="21" xfId="0" applyNumberFormat="1" applyFont="1" applyBorder="1" applyAlignment="1">
      <alignment shrinkToFit="1"/>
    </xf>
    <xf numFmtId="0" fontId="16" fillId="0" borderId="22" xfId="0" applyFont="1" applyBorder="1"/>
    <xf numFmtId="0" fontId="5" fillId="0" borderId="22" xfId="0" applyFont="1" applyBorder="1"/>
    <xf numFmtId="0" fontId="40" fillId="0" borderId="22" xfId="0" applyFont="1" applyBorder="1"/>
    <xf numFmtId="0" fontId="21" fillId="0" borderId="22" xfId="0" applyFont="1" applyBorder="1" applyAlignment="1">
      <alignment horizontal="left"/>
    </xf>
    <xf numFmtId="0" fontId="5" fillId="0" borderId="22" xfId="0" applyFont="1" applyBorder="1" applyAlignment="1">
      <alignment horizontal="center"/>
    </xf>
    <xf numFmtId="1" fontId="16" fillId="6" borderId="23" xfId="2" applyNumberFormat="1" applyFont="1" applyFill="1" applyBorder="1"/>
    <xf numFmtId="1" fontId="16" fillId="6" borderId="24" xfId="2" applyNumberFormat="1" applyFont="1" applyFill="1" applyBorder="1"/>
    <xf numFmtId="0" fontId="41" fillId="0" borderId="1" xfId="0" applyFont="1" applyBorder="1" applyAlignment="1">
      <alignment horizontal="center"/>
    </xf>
    <xf numFmtId="0" fontId="41" fillId="0" borderId="2" xfId="0" applyFont="1" applyBorder="1" applyAlignment="1">
      <alignment horizontal="center"/>
    </xf>
    <xf numFmtId="0" fontId="41" fillId="0" borderId="3" xfId="0" applyFont="1" applyBorder="1" applyAlignment="1">
      <alignment horizontal="center"/>
    </xf>
    <xf numFmtId="0" fontId="24" fillId="0" borderId="0" xfId="0" applyFont="1"/>
    <xf numFmtId="14" fontId="9" fillId="0" borderId="5" xfId="0" applyNumberFormat="1" applyFont="1" applyBorder="1" applyAlignment="1">
      <alignment horizontal="center" shrinkToFit="1"/>
    </xf>
    <xf numFmtId="0" fontId="9" fillId="0" borderId="6" xfId="0" applyFont="1" applyBorder="1" applyAlignment="1">
      <alignment horizontal="center" shrinkToFit="1"/>
    </xf>
    <xf numFmtId="0" fontId="42" fillId="0" borderId="6" xfId="0" applyFont="1" applyBorder="1"/>
    <xf numFmtId="0" fontId="43" fillId="0" borderId="6" xfId="0" applyFont="1" applyBorder="1" applyAlignment="1">
      <alignment horizontal="center"/>
    </xf>
    <xf numFmtId="0" fontId="44" fillId="0" borderId="6" xfId="0" applyFont="1" applyBorder="1" applyAlignment="1">
      <alignment horizontal="center"/>
    </xf>
    <xf numFmtId="0" fontId="45" fillId="0" borderId="6" xfId="0" applyFont="1" applyBorder="1" applyAlignment="1">
      <alignment horizontal="center"/>
    </xf>
    <xf numFmtId="0" fontId="45" fillId="0" borderId="7" xfId="0" applyFont="1" applyBorder="1" applyAlignment="1">
      <alignment horizontal="center"/>
    </xf>
    <xf numFmtId="0" fontId="5" fillId="0" borderId="0" xfId="0" applyFont="1" applyAlignment="1">
      <alignment horizontal="left" indent="1"/>
    </xf>
    <xf numFmtId="0" fontId="46" fillId="0" borderId="0" xfId="0" applyFont="1" applyAlignment="1">
      <alignment shrinkToFit="1"/>
    </xf>
    <xf numFmtId="0" fontId="1" fillId="0" borderId="0" xfId="0" applyFont="1"/>
    <xf numFmtId="0" fontId="46" fillId="0" borderId="0" xfId="0" applyFont="1"/>
    <xf numFmtId="0" fontId="15" fillId="0" borderId="0" xfId="0" applyFont="1" applyAlignment="1">
      <alignment horizontal="left" indent="2"/>
    </xf>
    <xf numFmtId="0" fontId="5" fillId="0" borderId="15" xfId="0" applyFont="1" applyBorder="1"/>
    <xf numFmtId="14" fontId="6" fillId="0" borderId="0" xfId="0" applyNumberFormat="1" applyFont="1"/>
    <xf numFmtId="0" fontId="11" fillId="0" borderId="0" xfId="0" applyFont="1"/>
    <xf numFmtId="0" fontId="10"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0" fontId="15" fillId="0" borderId="0" xfId="0" applyFont="1" applyAlignment="1">
      <alignment horizontal="left" indent="11"/>
    </xf>
    <xf numFmtId="0" fontId="6" fillId="0" borderId="0" xfId="0" applyFont="1" applyAlignment="1">
      <alignment horizontal="left" indent="1"/>
    </xf>
    <xf numFmtId="0" fontId="1" fillId="0" borderId="0" xfId="0" applyFont="1" applyAlignment="1">
      <alignment horizontal="left"/>
    </xf>
    <xf numFmtId="1" fontId="1" fillId="0" borderId="0" xfId="0" applyNumberFormat="1" applyFont="1"/>
    <xf numFmtId="9" fontId="5" fillId="0" borderId="0" xfId="0" applyNumberFormat="1" applyFont="1" applyAlignment="1">
      <alignment horizontal="center"/>
    </xf>
    <xf numFmtId="0" fontId="42" fillId="0" borderId="0" xfId="0" applyFont="1"/>
    <xf numFmtId="0" fontId="42" fillId="0" borderId="0" xfId="0" applyFont="1" applyAlignment="1">
      <alignment horizontal="left" indent="1"/>
    </xf>
    <xf numFmtId="0" fontId="47" fillId="0" borderId="0" xfId="0" applyFont="1"/>
    <xf numFmtId="1" fontId="5" fillId="0" borderId="15" xfId="0" applyNumberFormat="1" applyFont="1" applyBorder="1"/>
    <xf numFmtId="0" fontId="24" fillId="0" borderId="20" xfId="0" applyFont="1" applyBorder="1"/>
    <xf numFmtId="0" fontId="5" fillId="0" borderId="20" xfId="0" applyFont="1" applyBorder="1"/>
    <xf numFmtId="0" fontId="9" fillId="0" borderId="20" xfId="0" applyFont="1" applyBorder="1" applyAlignment="1">
      <alignment horizontal="right"/>
    </xf>
    <xf numFmtId="1" fontId="5" fillId="0" borderId="20" xfId="0" applyNumberFormat="1" applyFont="1" applyBorder="1"/>
    <xf numFmtId="0" fontId="35" fillId="0" borderId="0" xfId="0" applyFont="1" applyAlignment="1">
      <alignment horizontal="left"/>
    </xf>
    <xf numFmtId="0" fontId="11" fillId="0" borderId="0" xfId="0" applyFont="1" applyAlignment="1">
      <alignment horizontal="left" indent="1"/>
    </xf>
    <xf numFmtId="0" fontId="48" fillId="9" borderId="1" xfId="2" applyFont="1" applyFill="1" applyBorder="1" applyAlignment="1">
      <alignment horizontal="center"/>
    </xf>
    <xf numFmtId="0" fontId="48" fillId="9" borderId="3" xfId="2" applyFont="1" applyFill="1" applyBorder="1" applyAlignment="1">
      <alignment horizontal="center"/>
    </xf>
    <xf numFmtId="0" fontId="5" fillId="0" borderId="0" xfId="2" applyFont="1"/>
    <xf numFmtId="0" fontId="1" fillId="9" borderId="9" xfId="2" applyFill="1" applyBorder="1" applyAlignment="1">
      <alignment horizontal="left" indent="1"/>
    </xf>
    <xf numFmtId="0" fontId="1" fillId="9" borderId="11" xfId="2" applyFill="1" applyBorder="1" applyAlignment="1">
      <alignment horizontal="center"/>
    </xf>
    <xf numFmtId="9" fontId="1" fillId="9" borderId="11" xfId="1" applyFont="1" applyFill="1" applyBorder="1" applyAlignment="1">
      <alignment horizontal="center"/>
    </xf>
    <xf numFmtId="0" fontId="47" fillId="0" borderId="0" xfId="0" applyFont="1" applyAlignment="1">
      <alignment horizontal="left" indent="1"/>
    </xf>
    <xf numFmtId="0" fontId="9" fillId="0" borderId="20" xfId="0" applyFont="1" applyBorder="1" applyAlignment="1">
      <alignment horizontal="left"/>
    </xf>
    <xf numFmtId="0" fontId="29" fillId="6" borderId="20" xfId="0" applyFont="1" applyFill="1" applyBorder="1"/>
    <xf numFmtId="0" fontId="49" fillId="10" borderId="0" xfId="2" applyFont="1" applyFill="1"/>
    <xf numFmtId="0" fontId="34" fillId="10" borderId="0" xfId="2" applyFont="1" applyFill="1"/>
    <xf numFmtId="0" fontId="50" fillId="10" borderId="0" xfId="2" applyFont="1" applyFill="1"/>
    <xf numFmtId="1" fontId="16" fillId="10" borderId="0" xfId="2" applyNumberFormat="1" applyFont="1" applyFill="1"/>
    <xf numFmtId="0" fontId="51" fillId="11" borderId="1" xfId="2" applyFont="1" applyFill="1" applyBorder="1" applyAlignment="1">
      <alignment horizontal="center"/>
    </xf>
    <xf numFmtId="0" fontId="51" fillId="11" borderId="3" xfId="2" applyFont="1" applyFill="1" applyBorder="1" applyAlignment="1">
      <alignment horizontal="center"/>
    </xf>
    <xf numFmtId="0" fontId="1" fillId="0" borderId="0" xfId="0" applyFont="1" applyAlignment="1">
      <alignment horizontal="center"/>
    </xf>
    <xf numFmtId="0" fontId="52" fillId="0" borderId="0" xfId="2" applyFont="1"/>
    <xf numFmtId="0" fontId="1" fillId="0" borderId="0" xfId="2"/>
    <xf numFmtId="0" fontId="6" fillId="0" borderId="0" xfId="2" applyFont="1"/>
    <xf numFmtId="2" fontId="53" fillId="0" borderId="0" xfId="2" applyNumberFormat="1" applyFont="1"/>
    <xf numFmtId="0" fontId="1" fillId="11" borderId="9" xfId="2" applyFill="1" applyBorder="1" applyAlignment="1">
      <alignment horizontal="left" indent="1"/>
    </xf>
    <xf numFmtId="0" fontId="1" fillId="11" borderId="11" xfId="2" applyFill="1" applyBorder="1"/>
    <xf numFmtId="1" fontId="0" fillId="0" borderId="0" xfId="0" applyNumberFormat="1" applyAlignment="1">
      <alignment horizontal="left"/>
    </xf>
    <xf numFmtId="0" fontId="17" fillId="0" borderId="0" xfId="2" applyFont="1"/>
    <xf numFmtId="1" fontId="1" fillId="0" borderId="0" xfId="2" applyNumberFormat="1"/>
    <xf numFmtId="0" fontId="1" fillId="11" borderId="9" xfId="2" applyFill="1" applyBorder="1" applyAlignment="1">
      <alignment horizontal="center"/>
    </xf>
    <xf numFmtId="0" fontId="1" fillId="11" borderId="11" xfId="2" applyFill="1" applyBorder="1" applyAlignment="1">
      <alignment horizontal="center"/>
    </xf>
    <xf numFmtId="1" fontId="0" fillId="0" borderId="0" xfId="0" applyNumberFormat="1" applyAlignment="1">
      <alignment horizontal="center"/>
    </xf>
    <xf numFmtId="2" fontId="49" fillId="0" borderId="0" xfId="2" applyNumberFormat="1" applyFont="1" applyAlignment="1">
      <alignment horizontal="center"/>
    </xf>
    <xf numFmtId="0" fontId="1" fillId="11" borderId="5" xfId="2" applyFill="1" applyBorder="1" applyAlignment="1">
      <alignment horizontal="left" indent="1"/>
    </xf>
    <xf numFmtId="0" fontId="1" fillId="11" borderId="7" xfId="2" applyFill="1" applyBorder="1"/>
    <xf numFmtId="1" fontId="1" fillId="0" borderId="20" xfId="2" applyNumberFormat="1" applyBorder="1"/>
    <xf numFmtId="1" fontId="10" fillId="0" borderId="0" xfId="2" applyNumberFormat="1" applyFont="1"/>
    <xf numFmtId="0" fontId="1" fillId="0" borderId="0" xfId="2" applyAlignment="1">
      <alignment horizontal="center"/>
    </xf>
    <xf numFmtId="0" fontId="17" fillId="0" borderId="0" xfId="2" applyFont="1" applyAlignment="1">
      <alignment horizontal="center" vertical="center"/>
    </xf>
    <xf numFmtId="0" fontId="1" fillId="0" borderId="0" xfId="2" applyAlignment="1">
      <alignment horizontal="center" vertical="center"/>
    </xf>
    <xf numFmtId="1" fontId="46" fillId="0" borderId="0" xfId="2" applyNumberFormat="1" applyFont="1" applyAlignment="1">
      <alignment horizontal="center" vertical="center" wrapText="1"/>
    </xf>
    <xf numFmtId="1" fontId="1" fillId="0" borderId="0" xfId="2" applyNumberFormat="1" applyAlignment="1">
      <alignment horizontal="center" vertical="center"/>
    </xf>
    <xf numFmtId="0" fontId="9" fillId="0" borderId="0" xfId="0" applyFont="1" applyAlignment="1">
      <alignment horizontal="center" shrinkToFit="1"/>
    </xf>
    <xf numFmtId="164" fontId="1" fillId="0" borderId="0" xfId="2" applyNumberFormat="1" applyAlignment="1">
      <alignment horizontal="center"/>
    </xf>
    <xf numFmtId="1" fontId="1" fillId="7" borderId="0" xfId="2" applyNumberFormat="1" applyFill="1"/>
    <xf numFmtId="1" fontId="1" fillId="0" borderId="0" xfId="2" applyNumberFormat="1" applyAlignment="1">
      <alignment horizontal="center"/>
    </xf>
    <xf numFmtId="2" fontId="54" fillId="0" borderId="0" xfId="2" applyNumberFormat="1" applyFont="1" applyAlignment="1">
      <alignment horizontal="center"/>
    </xf>
    <xf numFmtId="0" fontId="54" fillId="0" borderId="0" xfId="0" applyFont="1" applyAlignment="1">
      <alignment horizontal="center"/>
    </xf>
    <xf numFmtId="0" fontId="54" fillId="0" borderId="0" xfId="0" applyFont="1"/>
    <xf numFmtId="1" fontId="54"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0" fontId="34" fillId="0" borderId="0" xfId="3" applyNumberFormat="1" applyFont="1" applyBorder="1" applyAlignment="1">
      <alignment horizontal="center"/>
    </xf>
    <xf numFmtId="1" fontId="34" fillId="0" borderId="20" xfId="2" applyNumberFormat="1" applyFont="1" applyBorder="1"/>
    <xf numFmtId="1" fontId="34" fillId="6" borderId="20" xfId="2" applyNumberFormat="1" applyFont="1" applyFill="1" applyBorder="1" applyAlignment="1">
      <alignment horizontal="center"/>
    </xf>
    <xf numFmtId="0" fontId="9" fillId="0" borderId="6" xfId="0" applyFont="1" applyBorder="1" applyAlignment="1">
      <alignment shrinkToFit="1"/>
    </xf>
    <xf numFmtId="0" fontId="1" fillId="0" borderId="6" xfId="2" applyBorder="1"/>
    <xf numFmtId="1" fontId="34" fillId="0" borderId="6" xfId="2" applyNumberFormat="1" applyFont="1" applyBorder="1"/>
    <xf numFmtId="2" fontId="34" fillId="0" borderId="0" xfId="2" applyNumberFormat="1" applyFont="1"/>
    <xf numFmtId="17" fontId="1" fillId="0" borderId="0" xfId="2" applyNumberFormat="1" applyAlignment="1">
      <alignment horizontal="center"/>
    </xf>
    <xf numFmtId="0" fontId="17" fillId="0" borderId="0" xfId="2" applyFont="1" applyAlignment="1">
      <alignment horizontal="left" indent="1"/>
    </xf>
    <xf numFmtId="9" fontId="6" fillId="0" borderId="0" xfId="2" applyNumberFormat="1" applyFont="1" applyAlignment="1">
      <alignment horizontal="center"/>
    </xf>
    <xf numFmtId="0" fontId="55" fillId="0" borderId="0" xfId="2" applyFont="1" applyAlignment="1">
      <alignment horizontal="left"/>
    </xf>
    <xf numFmtId="1" fontId="5" fillId="0" borderId="0" xfId="0" applyNumberFormat="1" applyFont="1" applyAlignment="1">
      <alignment horizontal="center"/>
    </xf>
    <xf numFmtId="2" fontId="10" fillId="0" borderId="0" xfId="2" applyNumberFormat="1" applyFont="1" applyAlignment="1">
      <alignment horizontal="center"/>
    </xf>
    <xf numFmtId="0" fontId="10" fillId="0" borderId="0" xfId="0" applyFont="1"/>
    <xf numFmtId="1" fontId="10" fillId="0" borderId="0" xfId="0" applyNumberFormat="1" applyFont="1" applyAlignment="1">
      <alignment horizontal="center"/>
    </xf>
    <xf numFmtId="164" fontId="56" fillId="7" borderId="0" xfId="2" applyNumberFormat="1" applyFont="1" applyFill="1" applyAlignment="1">
      <alignment horizontal="center"/>
    </xf>
    <xf numFmtId="1" fontId="55" fillId="0" borderId="0" xfId="2" applyNumberFormat="1" applyFont="1" applyAlignment="1">
      <alignment horizontal="left"/>
    </xf>
    <xf numFmtId="2" fontId="34" fillId="0" borderId="0" xfId="2" applyNumberFormat="1" applyFont="1" applyAlignment="1">
      <alignment horizontal="center"/>
    </xf>
    <xf numFmtId="1" fontId="55" fillId="0" borderId="0" xfId="2" applyNumberFormat="1" applyFont="1" applyAlignment="1">
      <alignment horizontal="right"/>
    </xf>
    <xf numFmtId="1" fontId="1" fillId="0" borderId="0" xfId="2" applyNumberFormat="1" applyAlignment="1">
      <alignment horizontal="right"/>
    </xf>
    <xf numFmtId="0" fontId="5" fillId="0" borderId="6" xfId="0" applyFont="1" applyBorder="1"/>
    <xf numFmtId="0" fontId="17" fillId="0" borderId="6" xfId="2" applyFont="1" applyBorder="1"/>
    <xf numFmtId="1" fontId="1" fillId="0" borderId="6" xfId="2" applyNumberFormat="1" applyBorder="1" applyAlignment="1">
      <alignment horizontal="right"/>
    </xf>
    <xf numFmtId="1" fontId="1" fillId="0" borderId="6" xfId="2" applyNumberFormat="1" applyBorder="1"/>
    <xf numFmtId="2" fontId="34" fillId="0" borderId="6" xfId="2" applyNumberFormat="1" applyFont="1" applyBorder="1" applyAlignment="1">
      <alignment horizontal="center"/>
    </xf>
    <xf numFmtId="14" fontId="1" fillId="0" borderId="0" xfId="2" applyNumberFormat="1" applyAlignment="1">
      <alignment horizontal="center"/>
    </xf>
    <xf numFmtId="2" fontId="57" fillId="0" borderId="0" xfId="2" applyNumberFormat="1" applyFont="1" applyAlignment="1">
      <alignment horizontal="center"/>
    </xf>
    <xf numFmtId="0" fontId="57" fillId="0" borderId="0" xfId="0" applyFont="1" applyAlignment="1">
      <alignment horizontal="center"/>
    </xf>
    <xf numFmtId="0" fontId="57" fillId="0" borderId="0" xfId="0" applyFont="1"/>
    <xf numFmtId="1" fontId="57" fillId="0" borderId="0" xfId="0" applyNumberFormat="1" applyFont="1" applyAlignment="1">
      <alignment horizontal="center"/>
    </xf>
    <xf numFmtId="17" fontId="1" fillId="0" borderId="0" xfId="2" applyNumberFormat="1"/>
    <xf numFmtId="0" fontId="58" fillId="0" borderId="1" xfId="2" applyFont="1" applyBorder="1"/>
    <xf numFmtId="0" fontId="15" fillId="0" borderId="2" xfId="0" applyFont="1" applyBorder="1"/>
    <xf numFmtId="0" fontId="59" fillId="0" borderId="2" xfId="0" applyFont="1" applyBorder="1" applyAlignment="1">
      <alignment horizontal="center"/>
    </xf>
    <xf numFmtId="0" fontId="59" fillId="0" borderId="3" xfId="0" applyFont="1" applyBorder="1" applyAlignment="1">
      <alignment horizontal="center"/>
    </xf>
    <xf numFmtId="0" fontId="60" fillId="0" borderId="0" xfId="0" applyFont="1"/>
    <xf numFmtId="0" fontId="10" fillId="0" borderId="9" xfId="2" applyFont="1" applyBorder="1"/>
    <xf numFmtId="0" fontId="24" fillId="0" borderId="0" xfId="2" applyFont="1"/>
    <xf numFmtId="0" fontId="61" fillId="0" borderId="9" xfId="0" applyFont="1" applyBorder="1" applyAlignment="1">
      <alignment horizontal="center" vertical="center"/>
    </xf>
    <xf numFmtId="0" fontId="63" fillId="0" borderId="0" xfId="0" applyFont="1" applyAlignment="1">
      <alignment horizontal="left" vertical="top" wrapText="1"/>
    </xf>
    <xf numFmtId="0" fontId="63" fillId="0" borderId="11" xfId="0" applyFont="1" applyBorder="1" applyAlignment="1">
      <alignment horizontal="left" vertical="top" wrapText="1"/>
    </xf>
    <xf numFmtId="0" fontId="19" fillId="0" borderId="0" xfId="2" applyFont="1" applyAlignment="1">
      <alignment horizontal="left" vertical="center"/>
    </xf>
    <xf numFmtId="0" fontId="15" fillId="0" borderId="9" xfId="0" applyFont="1" applyBorder="1" applyAlignment="1">
      <alignment shrinkToFit="1"/>
    </xf>
    <xf numFmtId="0" fontId="64" fillId="0" borderId="0" xfId="0" applyFont="1" applyAlignment="1">
      <alignment horizontal="left" vertical="top" wrapText="1"/>
    </xf>
    <xf numFmtId="0" fontId="64" fillId="0" borderId="11" xfId="0" applyFont="1" applyBorder="1" applyAlignment="1">
      <alignment horizontal="left" vertical="top" wrapText="1"/>
    </xf>
    <xf numFmtId="0" fontId="15" fillId="0" borderId="5" xfId="0" applyFont="1" applyBorder="1" applyAlignment="1">
      <alignment shrinkToFit="1"/>
    </xf>
    <xf numFmtId="0" fontId="63" fillId="0" borderId="6" xfId="0" applyFont="1" applyBorder="1" applyAlignment="1">
      <alignment horizontal="left" vertical="top" wrapText="1"/>
    </xf>
    <xf numFmtId="0" fontId="15" fillId="0" borderId="7" xfId="0" applyFont="1" applyBorder="1"/>
    <xf numFmtId="0" fontId="15" fillId="0" borderId="0" xfId="0" applyFont="1" applyAlignment="1">
      <alignment shrinkToFit="1"/>
    </xf>
    <xf numFmtId="0" fontId="63" fillId="0" borderId="0" xfId="0" applyFont="1" applyAlignment="1">
      <alignment horizontal="left" vertical="top" wrapText="1"/>
    </xf>
    <xf numFmtId="0" fontId="63" fillId="0" borderId="2" xfId="0" applyFont="1" applyBorder="1" applyAlignment="1">
      <alignment horizontal="left" vertical="top" wrapText="1"/>
    </xf>
    <xf numFmtId="0" fontId="66" fillId="0" borderId="2" xfId="0" applyFont="1" applyBorder="1" applyAlignment="1">
      <alignment horizontal="center"/>
    </xf>
    <xf numFmtId="0" fontId="66" fillId="0" borderId="3" xfId="0" applyFont="1" applyBorder="1" applyAlignment="1">
      <alignment horizontal="center"/>
    </xf>
    <xf numFmtId="0" fontId="67" fillId="0" borderId="0" xfId="2" applyFont="1"/>
    <xf numFmtId="0" fontId="5" fillId="0" borderId="0" xfId="2" applyFont="1" applyAlignment="1">
      <alignment horizontal="right"/>
    </xf>
    <xf numFmtId="0" fontId="15" fillId="0" borderId="0" xfId="2" applyFont="1"/>
    <xf numFmtId="0" fontId="9" fillId="0" borderId="0" xfId="2" applyFont="1"/>
    <xf numFmtId="0" fontId="9" fillId="0" borderId="5" xfId="0" applyFont="1" applyBorder="1" applyAlignment="1">
      <alignment shrinkToFit="1"/>
    </xf>
    <xf numFmtId="0" fontId="15" fillId="0" borderId="6" xfId="2" applyFont="1" applyBorder="1"/>
    <xf numFmtId="0" fontId="5" fillId="0" borderId="7" xfId="0" applyFont="1" applyBorder="1"/>
    <xf numFmtId="0" fontId="59" fillId="0" borderId="1" xfId="2" applyFont="1" applyBorder="1"/>
    <xf numFmtId="0" fontId="17" fillId="0" borderId="2" xfId="2" applyFont="1" applyBorder="1" applyAlignment="1">
      <alignment horizontal="center"/>
    </xf>
    <xf numFmtId="0" fontId="1" fillId="0" borderId="2" xfId="2" applyBorder="1" applyAlignment="1">
      <alignment horizontal="center"/>
    </xf>
    <xf numFmtId="0" fontId="50" fillId="0" borderId="2" xfId="2" applyFont="1" applyBorder="1"/>
    <xf numFmtId="0" fontId="5" fillId="0" borderId="2" xfId="0" applyFont="1" applyBorder="1"/>
    <xf numFmtId="0" fontId="5" fillId="0" borderId="3" xfId="0" applyFont="1" applyBorder="1"/>
    <xf numFmtId="0" fontId="5" fillId="0" borderId="9" xfId="2" applyFont="1" applyBorder="1" applyAlignment="1">
      <alignment horizontal="left" indent="1"/>
    </xf>
    <xf numFmtId="0" fontId="5" fillId="0" borderId="0" xfId="2" applyFont="1" applyAlignment="1">
      <alignment horizontal="left" indent="1"/>
    </xf>
    <xf numFmtId="0" fontId="1" fillId="0" borderId="0" xfId="2" applyAlignment="1">
      <alignment horizontal="right"/>
    </xf>
    <xf numFmtId="0" fontId="59" fillId="0" borderId="9" xfId="2" applyFont="1" applyBorder="1"/>
    <xf numFmtId="0" fontId="8" fillId="0" borderId="0" xfId="2" applyFont="1" applyAlignment="1">
      <alignment horizontal="left"/>
    </xf>
    <xf numFmtId="0" fontId="1" fillId="0" borderId="0" xfId="2" applyAlignment="1">
      <alignment horizontal="left" indent="1"/>
    </xf>
    <xf numFmtId="0" fontId="59" fillId="0" borderId="5" xfId="2" applyFont="1" applyBorder="1"/>
    <xf numFmtId="0" fontId="68" fillId="0" borderId="6" xfId="2" applyFont="1" applyBorder="1"/>
    <xf numFmtId="0" fontId="1" fillId="0" borderId="6" xfId="2" applyBorder="1" applyAlignment="1">
      <alignment horizontal="right"/>
    </xf>
    <xf numFmtId="0" fontId="16" fillId="0" borderId="0" xfId="2" applyFont="1"/>
  </cellXfs>
  <cellStyles count="4">
    <cellStyle name="Normal" xfId="0" builtinId="0"/>
    <cellStyle name="Normal 2 2" xfId="2" xr:uid="{0609BB86-268C-420C-8C23-F3F0DD303815}"/>
    <cellStyle name="Percent" xfId="1" builtinId="5"/>
    <cellStyle name="Percent 2" xfId="3" xr:uid="{98FDBA63-E862-41FE-B0F1-C3537821D7AA}"/>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4CCC-F546-4706-BD23-7293910D56C9}">
  <sheetPr>
    <pageSetUpPr fitToPage="1"/>
  </sheetPr>
  <dimension ref="A1:N138"/>
  <sheetViews>
    <sheetView showZeros="0" tabSelected="1" topLeftCell="A36" zoomScale="120" workbookViewId="0">
      <selection activeCell="E96" sqref="E96"/>
    </sheetView>
  </sheetViews>
  <sheetFormatPr defaultColWidth="9.109375" defaultRowHeight="15" customHeight="1" x14ac:dyDescent="0.25"/>
  <cols>
    <col min="1" max="1" width="4" style="112" customWidth="1"/>
    <col min="2" max="2" width="9.6640625" style="7" customWidth="1"/>
    <col min="3" max="3" width="10.6640625" style="7" customWidth="1"/>
    <col min="4" max="4" width="12.6640625" style="7" customWidth="1"/>
    <col min="5" max="5" width="15.88671875" style="7" customWidth="1"/>
    <col min="6" max="6" width="10.44140625" style="7" customWidth="1"/>
    <col min="7" max="7" width="10.6640625" style="7" customWidth="1"/>
    <col min="8" max="8" width="12.6640625" style="7" customWidth="1"/>
    <col min="9" max="9" width="4.21875" style="7" customWidth="1"/>
    <col min="10" max="10" width="4.5546875" style="7" customWidth="1"/>
    <col min="11" max="11" width="29.88671875" style="7" customWidth="1"/>
    <col min="12" max="12" width="10.44140625" style="7" customWidth="1"/>
    <col min="13" max="13" width="10" style="7" customWidth="1"/>
    <col min="14" max="14" width="9.44140625" style="7" customWidth="1"/>
    <col min="15" max="16384" width="9.109375" style="7"/>
  </cols>
  <sheetData>
    <row r="1" spans="1:14" s="5" customFormat="1" ht="14.25" customHeight="1" x14ac:dyDescent="0.25">
      <c r="A1" s="1" t="s">
        <v>0</v>
      </c>
      <c r="B1" s="2"/>
      <c r="C1" s="2"/>
      <c r="D1" s="3" t="s">
        <v>1</v>
      </c>
      <c r="E1" s="3"/>
      <c r="F1" s="3"/>
      <c r="G1" s="3"/>
      <c r="H1" s="3"/>
      <c r="I1" s="4"/>
      <c r="K1" s="6" t="str">
        <f>+D2</f>
        <v>Case Study-3</v>
      </c>
      <c r="L1" s="7"/>
      <c r="M1" s="8"/>
      <c r="N1" s="9" t="s">
        <v>2</v>
      </c>
    </row>
    <row r="2" spans="1:14" ht="15" customHeight="1" thickBot="1" x14ac:dyDescent="0.3">
      <c r="A2" s="10" t="s">
        <v>3</v>
      </c>
      <c r="B2" s="11"/>
      <c r="C2" s="11"/>
      <c r="D2" s="12" t="s">
        <v>4</v>
      </c>
      <c r="E2" s="13" t="s">
        <v>5</v>
      </c>
      <c r="F2" s="14" t="s">
        <v>6</v>
      </c>
      <c r="G2" s="14"/>
      <c r="H2" s="15">
        <v>15073</v>
      </c>
      <c r="I2" s="16" t="str">
        <f>IF(H2&lt;22008,"Sr",0)</f>
        <v>Sr</v>
      </c>
      <c r="J2" s="8"/>
      <c r="N2" s="17">
        <v>44374</v>
      </c>
    </row>
    <row r="3" spans="1:14" ht="15" customHeight="1" x14ac:dyDescent="0.25">
      <c r="A3" s="18"/>
      <c r="B3" s="19" t="s">
        <v>7</v>
      </c>
      <c r="G3" s="20"/>
      <c r="H3" s="21" t="s">
        <v>8</v>
      </c>
      <c r="I3" s="22"/>
      <c r="N3" s="23" t="s">
        <v>9</v>
      </c>
    </row>
    <row r="4" spans="1:14" ht="15" customHeight="1" x14ac:dyDescent="0.25">
      <c r="A4" s="24"/>
      <c r="B4" s="25" t="s">
        <v>10</v>
      </c>
      <c r="C4" s="26" t="s">
        <v>11</v>
      </c>
      <c r="G4" s="27">
        <f>+L4</f>
        <v>4690000</v>
      </c>
      <c r="H4" s="28"/>
      <c r="I4" s="29"/>
      <c r="K4" s="30" t="s">
        <v>12</v>
      </c>
      <c r="L4" s="7">
        <v>4690000</v>
      </c>
      <c r="N4" s="31">
        <v>44561</v>
      </c>
    </row>
    <row r="5" spans="1:14" ht="15" customHeight="1" x14ac:dyDescent="0.25">
      <c r="A5" s="24"/>
      <c r="B5" s="25" t="s">
        <v>13</v>
      </c>
      <c r="C5" s="32" t="s">
        <v>14</v>
      </c>
      <c r="G5" s="33">
        <v>50000</v>
      </c>
      <c r="H5" s="28">
        <f>G4-G5</f>
        <v>4640000</v>
      </c>
      <c r="I5" s="29"/>
      <c r="J5" s="8"/>
      <c r="N5" s="34" t="s">
        <v>15</v>
      </c>
    </row>
    <row r="6" spans="1:14" ht="18" customHeight="1" thickBot="1" x14ac:dyDescent="0.3">
      <c r="A6" s="24"/>
      <c r="B6" s="19" t="s">
        <v>16</v>
      </c>
      <c r="E6" s="35" t="s">
        <v>17</v>
      </c>
      <c r="G6" s="20"/>
      <c r="H6" s="28"/>
      <c r="I6" s="29"/>
      <c r="K6" s="36" t="s">
        <v>18</v>
      </c>
      <c r="L6" s="37" t="s">
        <v>19</v>
      </c>
      <c r="M6" s="38" t="s">
        <v>20</v>
      </c>
      <c r="N6" s="39">
        <v>44520</v>
      </c>
    </row>
    <row r="7" spans="1:14" ht="15" customHeight="1" x14ac:dyDescent="0.25">
      <c r="A7" s="24"/>
      <c r="C7" s="40" t="s">
        <v>21</v>
      </c>
      <c r="D7" s="26"/>
      <c r="E7" s="41"/>
      <c r="F7" s="8"/>
      <c r="G7" s="42">
        <f>+L7</f>
        <v>940000</v>
      </c>
      <c r="H7" s="43"/>
      <c r="I7" s="29"/>
      <c r="K7" s="44" t="s">
        <v>22</v>
      </c>
      <c r="L7" s="36">
        <v>940000</v>
      </c>
      <c r="N7" s="45" t="s">
        <v>23</v>
      </c>
    </row>
    <row r="8" spans="1:14" ht="15" customHeight="1" x14ac:dyDescent="0.25">
      <c r="A8" s="24"/>
      <c r="C8" s="46" t="s">
        <v>24</v>
      </c>
      <c r="D8" s="26"/>
      <c r="E8" s="41"/>
      <c r="F8" s="8"/>
      <c r="G8" s="47">
        <f>+L8</f>
        <v>37000</v>
      </c>
      <c r="H8" s="43"/>
      <c r="I8" s="29"/>
      <c r="K8" s="48" t="s">
        <v>25</v>
      </c>
      <c r="L8" s="48">
        <v>37000</v>
      </c>
      <c r="N8" s="49" t="s">
        <v>26</v>
      </c>
    </row>
    <row r="9" spans="1:14" ht="15" customHeight="1" thickBot="1" x14ac:dyDescent="0.3">
      <c r="A9" s="24"/>
      <c r="C9" s="40"/>
      <c r="D9" s="26"/>
      <c r="F9" s="8"/>
      <c r="G9" s="50">
        <f>G7-G8</f>
        <v>903000</v>
      </c>
      <c r="H9" s="43"/>
      <c r="I9" s="29"/>
      <c r="N9" s="51">
        <v>5000</v>
      </c>
    </row>
    <row r="10" spans="1:14" ht="15" customHeight="1" x14ac:dyDescent="0.25">
      <c r="A10" s="24"/>
      <c r="B10" s="25" t="s">
        <v>27</v>
      </c>
      <c r="C10" s="32" t="s">
        <v>28</v>
      </c>
      <c r="D10" s="26"/>
      <c r="E10" s="32" t="s">
        <v>29</v>
      </c>
      <c r="F10" s="32"/>
      <c r="G10" s="47">
        <f>ROUND(G9*30%,0)</f>
        <v>270900</v>
      </c>
      <c r="H10" s="43">
        <f>G9-G10</f>
        <v>632100</v>
      </c>
      <c r="I10" s="29"/>
    </row>
    <row r="11" spans="1:14" ht="15" customHeight="1" x14ac:dyDescent="0.25">
      <c r="A11" s="24"/>
      <c r="B11" s="19" t="s">
        <v>30</v>
      </c>
      <c r="H11" s="43"/>
      <c r="I11" s="29"/>
    </row>
    <row r="12" spans="1:14" ht="15" customHeight="1" x14ac:dyDescent="0.25">
      <c r="A12" s="24"/>
      <c r="C12" s="32" t="s">
        <v>31</v>
      </c>
      <c r="G12" s="52"/>
      <c r="H12" s="43"/>
      <c r="I12" s="29"/>
    </row>
    <row r="13" spans="1:14" ht="15" customHeight="1" x14ac:dyDescent="0.25">
      <c r="A13" s="24"/>
      <c r="C13" s="32" t="s">
        <v>32</v>
      </c>
      <c r="G13" s="53"/>
      <c r="H13" s="43">
        <f>G12+G13</f>
        <v>0</v>
      </c>
      <c r="I13" s="29"/>
    </row>
    <row r="14" spans="1:14" ht="15" customHeight="1" x14ac:dyDescent="0.25">
      <c r="A14" s="24"/>
      <c r="B14" s="19" t="s">
        <v>33</v>
      </c>
      <c r="H14" s="43"/>
      <c r="I14" s="29"/>
    </row>
    <row r="15" spans="1:14" ht="15" customHeight="1" x14ac:dyDescent="0.25">
      <c r="A15" s="24"/>
      <c r="B15" s="54"/>
      <c r="C15" s="40" t="s">
        <v>34</v>
      </c>
      <c r="D15" s="25"/>
      <c r="E15" s="25"/>
      <c r="F15" s="32"/>
      <c r="G15" s="52">
        <f>+L15</f>
        <v>98750</v>
      </c>
      <c r="H15" s="43"/>
      <c r="I15" s="29"/>
      <c r="K15" s="7" t="s">
        <v>34</v>
      </c>
      <c r="L15" s="7">
        <v>98750</v>
      </c>
    </row>
    <row r="16" spans="1:14" ht="15" customHeight="1" x14ac:dyDescent="0.25">
      <c r="A16" s="24"/>
      <c r="C16" s="40" t="s">
        <v>35</v>
      </c>
      <c r="D16" s="25"/>
      <c r="E16" s="25"/>
      <c r="F16" s="32"/>
      <c r="G16" s="52">
        <f>+L16</f>
        <v>480000</v>
      </c>
      <c r="H16" s="43"/>
      <c r="I16" s="29"/>
      <c r="K16" s="7" t="s">
        <v>35</v>
      </c>
      <c r="L16" s="7">
        <v>480000</v>
      </c>
    </row>
    <row r="17" spans="1:13" ht="15" customHeight="1" x14ac:dyDescent="0.25">
      <c r="A17" s="24"/>
      <c r="B17" s="55"/>
      <c r="C17" s="40" t="s">
        <v>36</v>
      </c>
      <c r="D17" s="25"/>
      <c r="E17" s="25"/>
      <c r="F17" s="32"/>
      <c r="G17" s="47">
        <f>+L17</f>
        <v>948</v>
      </c>
      <c r="H17" s="43">
        <f>G15+G16+G17</f>
        <v>579698</v>
      </c>
      <c r="I17" s="29"/>
      <c r="K17" s="56" t="s">
        <v>37</v>
      </c>
      <c r="L17" s="7">
        <f>12000*0.079</f>
        <v>948</v>
      </c>
    </row>
    <row r="18" spans="1:13" ht="15" customHeight="1" x14ac:dyDescent="0.25">
      <c r="A18" s="24"/>
      <c r="H18" s="57"/>
      <c r="I18" s="58"/>
      <c r="K18" s="59" t="s">
        <v>38</v>
      </c>
      <c r="M18" s="60">
        <v>43893</v>
      </c>
    </row>
    <row r="19" spans="1:13" ht="15" customHeight="1" x14ac:dyDescent="0.25">
      <c r="A19" s="24"/>
      <c r="B19" s="19" t="s">
        <v>39</v>
      </c>
      <c r="E19" s="8"/>
      <c r="F19" s="8"/>
      <c r="G19" s="28"/>
      <c r="H19" s="43">
        <f>SUM(H4:H18)</f>
        <v>5851798</v>
      </c>
      <c r="I19" s="61"/>
    </row>
    <row r="20" spans="1:13" ht="15" customHeight="1" x14ac:dyDescent="0.25">
      <c r="A20" s="24"/>
      <c r="B20" s="62" t="s">
        <v>40</v>
      </c>
      <c r="H20" s="43"/>
      <c r="I20" s="29"/>
      <c r="L20" s="56"/>
    </row>
    <row r="21" spans="1:13" ht="15" customHeight="1" x14ac:dyDescent="0.25">
      <c r="A21" s="24"/>
      <c r="B21" s="63"/>
      <c r="C21" s="64" t="s">
        <v>41</v>
      </c>
      <c r="D21" s="7" t="str">
        <f>+K21</f>
        <v>Public Prov Fund (Cash)</v>
      </c>
      <c r="F21" s="52">
        <f>+L21</f>
        <v>130000</v>
      </c>
      <c r="H21" s="43"/>
      <c r="I21" s="29"/>
      <c r="K21" s="56" t="s">
        <v>42</v>
      </c>
      <c r="L21" s="56">
        <v>130000</v>
      </c>
    </row>
    <row r="22" spans="1:13" ht="15" customHeight="1" x14ac:dyDescent="0.25">
      <c r="A22" s="24"/>
      <c r="D22" s="7" t="s">
        <v>43</v>
      </c>
      <c r="E22" s="65" t="s">
        <v>44</v>
      </c>
      <c r="F22" s="53">
        <f>+G17</f>
        <v>948</v>
      </c>
      <c r="G22" s="7">
        <f>F21+F22</f>
        <v>130948</v>
      </c>
      <c r="H22" s="43"/>
      <c r="I22" s="29"/>
      <c r="K22" s="56" t="s">
        <v>45</v>
      </c>
      <c r="L22" s="56">
        <v>12000</v>
      </c>
      <c r="M22" s="66" t="s">
        <v>46</v>
      </c>
    </row>
    <row r="23" spans="1:13" ht="15" customHeight="1" x14ac:dyDescent="0.25">
      <c r="A23" s="24"/>
      <c r="B23" s="63"/>
      <c r="C23" s="67" t="s">
        <v>47</v>
      </c>
      <c r="D23" s="67"/>
      <c r="E23" s="68" t="str">
        <f>+K23</f>
        <v>NPS</v>
      </c>
      <c r="F23" s="66">
        <v>20000</v>
      </c>
      <c r="G23" s="52">
        <f>L23-G24-F22</f>
        <v>19052</v>
      </c>
      <c r="H23" s="43"/>
      <c r="I23" s="29"/>
      <c r="K23" s="56" t="s">
        <v>48</v>
      </c>
      <c r="L23" s="56">
        <v>70000</v>
      </c>
    </row>
    <row r="24" spans="1:13" ht="15" customHeight="1" x14ac:dyDescent="0.25">
      <c r="A24" s="24"/>
      <c r="B24" s="63"/>
      <c r="C24" s="35" t="s">
        <v>49</v>
      </c>
      <c r="E24" s="68" t="str">
        <f>+K23</f>
        <v>NPS</v>
      </c>
      <c r="G24" s="52">
        <v>50000</v>
      </c>
      <c r="H24" s="43"/>
      <c r="I24" s="29"/>
      <c r="K24" s="69" t="s">
        <v>50</v>
      </c>
    </row>
    <row r="25" spans="1:13" ht="15" customHeight="1" x14ac:dyDescent="0.25">
      <c r="A25" s="24"/>
      <c r="B25" s="70" t="s">
        <v>51</v>
      </c>
      <c r="C25" s="35" t="s">
        <v>52</v>
      </c>
      <c r="D25" s="32"/>
      <c r="E25" s="68" t="s">
        <v>53</v>
      </c>
      <c r="F25" s="66">
        <v>52000</v>
      </c>
      <c r="G25" s="52">
        <v>50000</v>
      </c>
      <c r="H25" s="43"/>
      <c r="I25" s="29"/>
      <c r="K25" s="56" t="s">
        <v>54</v>
      </c>
      <c r="L25" s="56">
        <v>52000</v>
      </c>
    </row>
    <row r="26" spans="1:13" ht="15" customHeight="1" x14ac:dyDescent="0.25">
      <c r="A26" s="24"/>
      <c r="B26" s="63"/>
      <c r="C26" s="35" t="s">
        <v>55</v>
      </c>
      <c r="E26" s="68" t="s">
        <v>56</v>
      </c>
      <c r="F26" s="66" t="s">
        <v>57</v>
      </c>
      <c r="G26" s="52">
        <f>+L26</f>
        <v>60000</v>
      </c>
      <c r="H26" s="43"/>
      <c r="I26" s="29"/>
      <c r="K26" s="56" t="s">
        <v>58</v>
      </c>
      <c r="L26" s="56">
        <v>60000</v>
      </c>
    </row>
    <row r="27" spans="1:13" ht="15" customHeight="1" x14ac:dyDescent="0.25">
      <c r="A27" s="24"/>
      <c r="B27" s="70" t="str">
        <f>+B25</f>
        <v>Sr Citizen</v>
      </c>
      <c r="C27" s="35" t="s">
        <v>59</v>
      </c>
      <c r="D27" s="32" t="s">
        <v>60</v>
      </c>
      <c r="E27" s="8"/>
      <c r="F27" s="66"/>
      <c r="G27" s="47">
        <v>50000</v>
      </c>
      <c r="H27" s="43">
        <f>SUM(G21:G27)</f>
        <v>360000</v>
      </c>
      <c r="I27" s="29"/>
      <c r="K27" s="56" t="s">
        <v>61</v>
      </c>
      <c r="L27" s="56">
        <v>3000</v>
      </c>
      <c r="M27" s="71" t="s">
        <v>57</v>
      </c>
    </row>
    <row r="28" spans="1:13" ht="15" customHeight="1" thickBot="1" x14ac:dyDescent="0.3">
      <c r="A28" s="24"/>
      <c r="B28" s="72" t="s">
        <v>62</v>
      </c>
      <c r="E28" s="73">
        <f>IF((H19-H27)&lt;0,0,(H19-H27))</f>
        <v>5491798</v>
      </c>
      <c r="F28" s="74" t="s">
        <v>63</v>
      </c>
      <c r="G28" s="75"/>
      <c r="H28" s="76">
        <f>ROUND((E28/10),0)*10</f>
        <v>5491800</v>
      </c>
      <c r="I28" s="77"/>
      <c r="K28" s="78" t="s">
        <v>51</v>
      </c>
      <c r="L28" s="79"/>
      <c r="M28" s="79"/>
    </row>
    <row r="29" spans="1:13" ht="15" customHeight="1" thickTop="1" x14ac:dyDescent="0.25">
      <c r="A29" s="24"/>
      <c r="B29" s="80" t="s">
        <v>64</v>
      </c>
      <c r="E29" s="81" t="s">
        <v>65</v>
      </c>
      <c r="F29" s="82" t="s">
        <v>66</v>
      </c>
      <c r="G29" s="81" t="s">
        <v>67</v>
      </c>
      <c r="H29" s="83"/>
      <c r="I29" s="84"/>
      <c r="K29" s="85" t="s">
        <v>68</v>
      </c>
      <c r="L29" s="86">
        <v>0.05</v>
      </c>
      <c r="M29" s="79">
        <f>200000*5%</f>
        <v>10000</v>
      </c>
    </row>
    <row r="30" spans="1:13" ht="15" customHeight="1" x14ac:dyDescent="0.25">
      <c r="A30" s="24"/>
      <c r="B30" s="87" t="str">
        <f>+B25</f>
        <v>Sr Citizen</v>
      </c>
      <c r="C30" s="32" t="s">
        <v>69</v>
      </c>
      <c r="E30" s="30">
        <f>H28-E31</f>
        <v>5491800</v>
      </c>
      <c r="F30" s="88"/>
      <c r="G30" s="7">
        <f>IF(+I2="Sr",ROUND(IF(E30&gt;1000000,(((E30-1000000)*0.3)+110000),IF(E30&gt;500000,(((E30-500000)*0.2)+10000),IF(E30&gt;300000,((E30-300000)*0.05),0))),0),ROUND(IF(E30&gt;1000000,(((E30-1000000)*0.3)+112500),IF(E30&gt;500000,(((E30-500000)*0.2)+12500),IF(E30&gt;250000,((E30-250000)*0.05),0))),0))</f>
        <v>1457540</v>
      </c>
      <c r="H30" s="83"/>
      <c r="I30" s="84"/>
      <c r="K30" s="85" t="s">
        <v>70</v>
      </c>
      <c r="L30" s="86">
        <v>0.2</v>
      </c>
      <c r="M30" s="79">
        <f>500000*20%</f>
        <v>100000</v>
      </c>
    </row>
    <row r="31" spans="1:13" ht="15" hidden="1" customHeight="1" x14ac:dyDescent="0.25">
      <c r="A31" s="24"/>
      <c r="B31" s="80"/>
      <c r="C31" s="32" t="s">
        <v>71</v>
      </c>
      <c r="E31" s="89"/>
      <c r="F31" s="90">
        <v>0.15</v>
      </c>
      <c r="G31" s="47"/>
      <c r="H31" s="91"/>
      <c r="I31" s="92"/>
      <c r="K31" s="85"/>
      <c r="L31" s="93"/>
      <c r="M31" s="79"/>
    </row>
    <row r="32" spans="1:13" ht="15" hidden="1" customHeight="1" x14ac:dyDescent="0.25">
      <c r="A32" s="24"/>
      <c r="D32" s="88"/>
      <c r="E32" s="8"/>
      <c r="G32" s="94">
        <f>G30+G31</f>
        <v>1457540</v>
      </c>
      <c r="H32" s="95"/>
      <c r="I32" s="96"/>
      <c r="K32" s="85"/>
      <c r="L32" s="93"/>
      <c r="M32" s="79"/>
    </row>
    <row r="33" spans="1:14" ht="15" customHeight="1" x14ac:dyDescent="0.25">
      <c r="A33" s="24"/>
      <c r="B33" s="32" t="s">
        <v>72</v>
      </c>
      <c r="C33" s="32" t="s">
        <v>73</v>
      </c>
      <c r="D33" s="88"/>
      <c r="E33" s="8"/>
      <c r="G33" s="97"/>
      <c r="H33" s="98">
        <f>G32-G33</f>
        <v>1457540</v>
      </c>
      <c r="I33" s="99"/>
      <c r="K33" s="85" t="s">
        <v>74</v>
      </c>
      <c r="L33" s="86">
        <v>0.3</v>
      </c>
      <c r="M33" s="79">
        <f>ROUND((H28-1000000)*30%,0)</f>
        <v>1347540</v>
      </c>
    </row>
    <row r="34" spans="1:14" ht="15" customHeight="1" thickBot="1" x14ac:dyDescent="0.3">
      <c r="A34" s="24"/>
      <c r="B34" s="7" t="s">
        <v>75</v>
      </c>
      <c r="C34" s="32"/>
      <c r="D34" s="88"/>
      <c r="E34" s="8"/>
      <c r="G34" s="100"/>
      <c r="H34" s="101">
        <f>IF(H28&gt;10000000,H33*15%,IF(H28&gt;5000000,H33*10%,0))</f>
        <v>145754</v>
      </c>
      <c r="I34" s="102"/>
      <c r="K34" s="79"/>
      <c r="L34" s="79"/>
      <c r="M34" s="103">
        <f>SUM(M29:M33)</f>
        <v>1457540</v>
      </c>
    </row>
    <row r="35" spans="1:14" ht="15" customHeight="1" thickTop="1" x14ac:dyDescent="0.25">
      <c r="A35" s="24"/>
      <c r="C35" s="32"/>
      <c r="D35" s="88"/>
      <c r="E35" s="8"/>
      <c r="G35" s="94"/>
      <c r="H35" s="98">
        <f>H33+H34</f>
        <v>1603294</v>
      </c>
      <c r="I35" s="99"/>
      <c r="K35" s="104" t="s">
        <v>76</v>
      </c>
      <c r="L35" s="105"/>
      <c r="M35" s="105"/>
    </row>
    <row r="36" spans="1:14" ht="15" customHeight="1" x14ac:dyDescent="0.25">
      <c r="A36" s="24"/>
      <c r="B36" s="32" t="s">
        <v>77</v>
      </c>
      <c r="D36" s="88"/>
      <c r="E36" s="8"/>
      <c r="G36" s="100">
        <v>0.04</v>
      </c>
      <c r="H36" s="101">
        <f>ROUND((H35)*0.04,0)</f>
        <v>64132</v>
      </c>
      <c r="I36" s="102"/>
      <c r="K36" s="106" t="s">
        <v>78</v>
      </c>
      <c r="L36" s="107" t="s">
        <v>79</v>
      </c>
      <c r="M36" s="108" t="s">
        <v>80</v>
      </c>
    </row>
    <row r="37" spans="1:14" ht="15" customHeight="1" x14ac:dyDescent="0.25">
      <c r="A37" s="24"/>
      <c r="B37" s="80" t="s">
        <v>81</v>
      </c>
      <c r="D37" s="88"/>
      <c r="E37" s="74"/>
      <c r="G37" s="8"/>
      <c r="H37" s="95">
        <f>SUM(H35:H36)</f>
        <v>1667426</v>
      </c>
      <c r="I37" s="96"/>
      <c r="K37" s="109" t="s">
        <v>82</v>
      </c>
      <c r="L37" s="110">
        <v>478000</v>
      </c>
      <c r="M37" s="111" t="s">
        <v>83</v>
      </c>
    </row>
    <row r="38" spans="1:14" ht="15" customHeight="1" x14ac:dyDescent="0.3">
      <c r="B38" s="32" t="s">
        <v>84</v>
      </c>
      <c r="D38" s="88"/>
      <c r="E38" s="113" t="s">
        <v>85</v>
      </c>
      <c r="G38" s="114"/>
      <c r="H38" s="115">
        <f>+H96</f>
        <v>8296</v>
      </c>
      <c r="I38" s="96"/>
      <c r="J38" s="32"/>
      <c r="K38" s="109" t="s">
        <v>86</v>
      </c>
      <c r="L38" s="110">
        <v>25000</v>
      </c>
      <c r="M38" s="111" t="s">
        <v>87</v>
      </c>
      <c r="N38" s="38" t="s">
        <v>88</v>
      </c>
    </row>
    <row r="39" spans="1:14" ht="15" customHeight="1" x14ac:dyDescent="0.25">
      <c r="A39" s="70"/>
      <c r="B39" s="32" t="s">
        <v>89</v>
      </c>
      <c r="C39" s="8"/>
      <c r="D39" s="8"/>
      <c r="E39" s="8"/>
      <c r="G39" s="114" t="s">
        <v>90</v>
      </c>
      <c r="H39" s="116"/>
      <c r="I39" s="117"/>
      <c r="K39" s="109" t="s">
        <v>91</v>
      </c>
      <c r="L39" s="110">
        <v>1155700</v>
      </c>
      <c r="M39" s="110"/>
    </row>
    <row r="40" spans="1:14" ht="15" customHeight="1" x14ac:dyDescent="0.25">
      <c r="A40" s="24"/>
      <c r="B40" s="80" t="s">
        <v>92</v>
      </c>
      <c r="C40" s="8"/>
      <c r="D40" s="8"/>
      <c r="E40" s="8"/>
      <c r="F40" s="8"/>
      <c r="G40" s="8"/>
      <c r="H40" s="43">
        <f>H37+H39+H38</f>
        <v>1675722</v>
      </c>
      <c r="I40" s="29"/>
      <c r="J40" s="32"/>
      <c r="K40" s="109" t="s">
        <v>93</v>
      </c>
      <c r="L40" s="110">
        <v>8630000</v>
      </c>
      <c r="M40" s="118"/>
    </row>
    <row r="41" spans="1:14" ht="15" customHeight="1" x14ac:dyDescent="0.25">
      <c r="A41" s="24"/>
      <c r="B41" s="19" t="s">
        <v>94</v>
      </c>
      <c r="C41" s="8"/>
      <c r="D41" s="8"/>
      <c r="E41" s="8"/>
      <c r="F41" s="8"/>
      <c r="G41" s="8"/>
      <c r="H41" s="43"/>
      <c r="I41" s="29"/>
      <c r="K41" s="109" t="s">
        <v>95</v>
      </c>
      <c r="L41" s="110">
        <v>18570</v>
      </c>
      <c r="M41" s="119"/>
    </row>
    <row r="42" spans="1:14" ht="15" customHeight="1" x14ac:dyDescent="0.3">
      <c r="A42" s="120" t="s">
        <v>96</v>
      </c>
      <c r="B42" s="121">
        <v>44307</v>
      </c>
      <c r="C42" s="122" t="s">
        <v>97</v>
      </c>
      <c r="D42" s="122"/>
      <c r="E42" s="122"/>
      <c r="F42" s="8"/>
      <c r="G42" s="89">
        <v>280000</v>
      </c>
      <c r="H42" s="43"/>
      <c r="I42" s="29"/>
      <c r="K42" s="109"/>
      <c r="L42" s="110"/>
      <c r="M42" s="119"/>
    </row>
    <row r="43" spans="1:14" ht="15" customHeight="1" thickBot="1" x14ac:dyDescent="0.35">
      <c r="A43" s="24"/>
      <c r="B43" s="123"/>
      <c r="C43" s="124" t="s">
        <v>98</v>
      </c>
      <c r="D43" s="124"/>
      <c r="E43" s="125" t="s">
        <v>99</v>
      </c>
      <c r="F43" s="126"/>
      <c r="G43" s="89">
        <v>1180000</v>
      </c>
      <c r="H43" s="43"/>
      <c r="I43" s="29"/>
      <c r="L43" s="127">
        <f>SUM(L37:L41)</f>
        <v>10307270</v>
      </c>
    </row>
    <row r="44" spans="1:14" ht="15" customHeight="1" thickTop="1" x14ac:dyDescent="0.25">
      <c r="A44" s="7"/>
      <c r="H44" s="43">
        <f>SUM(G42:G44)</f>
        <v>1460000</v>
      </c>
      <c r="I44" s="29"/>
      <c r="K44" s="109" t="s">
        <v>100</v>
      </c>
      <c r="L44" s="128">
        <v>200000</v>
      </c>
      <c r="M44" s="129" t="s">
        <v>101</v>
      </c>
      <c r="N44" s="38" t="s">
        <v>102</v>
      </c>
    </row>
    <row r="45" spans="1:14" ht="15" customHeight="1" thickBot="1" x14ac:dyDescent="0.3">
      <c r="A45" s="130"/>
      <c r="B45" s="131" t="str">
        <f>IF(H45=0,"TAX  PAYABLE / REFUND ",IF(H45&lt;0,"REFUND","TAX  PAYABLE including Interest"))</f>
        <v>TAX  PAYABLE including Interest</v>
      </c>
      <c r="C45" s="132"/>
      <c r="D45" s="133"/>
      <c r="E45" s="133"/>
      <c r="F45" s="134" t="s">
        <v>103</v>
      </c>
      <c r="G45" s="135"/>
      <c r="H45" s="136">
        <f>ROUND((H40-H44)/10,0)*10</f>
        <v>215720</v>
      </c>
      <c r="I45" s="137"/>
    </row>
    <row r="46" spans="1:14" ht="15" customHeight="1" x14ac:dyDescent="0.25">
      <c r="A46" s="138" t="s">
        <v>104</v>
      </c>
      <c r="B46" s="139"/>
      <c r="C46" s="139"/>
      <c r="D46" s="139"/>
      <c r="E46" s="139"/>
      <c r="F46" s="139"/>
      <c r="G46" s="139"/>
      <c r="H46" s="139"/>
      <c r="I46" s="140"/>
      <c r="K46" s="141" t="s">
        <v>105</v>
      </c>
    </row>
    <row r="47" spans="1:14" ht="15" customHeight="1" thickBot="1" x14ac:dyDescent="0.3">
      <c r="A47" s="142">
        <v>44520</v>
      </c>
      <c r="B47" s="143"/>
      <c r="C47" s="144" t="s">
        <v>106</v>
      </c>
      <c r="D47" s="145"/>
      <c r="E47" s="146" t="s">
        <v>107</v>
      </c>
      <c r="F47" s="147" t="s">
        <v>108</v>
      </c>
      <c r="G47" s="147"/>
      <c r="H47" s="147"/>
      <c r="I47" s="148"/>
      <c r="K47" s="149" t="s">
        <v>109</v>
      </c>
      <c r="L47" s="30">
        <f>+H5</f>
        <v>4640000</v>
      </c>
    </row>
    <row r="48" spans="1:14" ht="15" customHeight="1" x14ac:dyDescent="0.25">
      <c r="A48" s="150"/>
      <c r="B48" s="150"/>
      <c r="C48" s="151"/>
      <c r="D48" s="152"/>
      <c r="E48" s="152"/>
      <c r="F48" s="152"/>
      <c r="G48" s="152"/>
      <c r="H48" s="152"/>
      <c r="I48" s="152"/>
      <c r="K48" s="153" t="s">
        <v>110</v>
      </c>
      <c r="L48" s="154">
        <f>G22+G23+G24+G25</f>
        <v>250000</v>
      </c>
      <c r="M48" s="30">
        <f>L47-L48</f>
        <v>4390000</v>
      </c>
    </row>
    <row r="49" spans="1:14" ht="15" customHeight="1" x14ac:dyDescent="0.25">
      <c r="A49" s="150"/>
      <c r="B49" s="155"/>
      <c r="C49" s="156"/>
      <c r="D49" s="152"/>
      <c r="E49" s="157"/>
      <c r="F49" s="158" t="s">
        <v>111</v>
      </c>
      <c r="G49" s="159"/>
      <c r="H49" s="159"/>
      <c r="I49" s="152"/>
      <c r="J49" s="32"/>
      <c r="K49" s="160" t="s">
        <v>112</v>
      </c>
      <c r="M49" s="7">
        <f>110000+(M48-1000000)*0.3</f>
        <v>1127000</v>
      </c>
    </row>
    <row r="50" spans="1:14" ht="15" customHeight="1" x14ac:dyDescent="0.25">
      <c r="A50" s="150"/>
      <c r="B50" s="70"/>
      <c r="C50" s="161"/>
      <c r="D50" s="152"/>
      <c r="F50" s="162" t="s">
        <v>113</v>
      </c>
      <c r="G50" s="162"/>
      <c r="H50" s="163">
        <f>+G4</f>
        <v>4690000</v>
      </c>
      <c r="I50" s="152"/>
      <c r="J50" s="32"/>
      <c r="K50" s="160" t="s">
        <v>114</v>
      </c>
      <c r="L50" s="164">
        <v>0</v>
      </c>
      <c r="M50" s="7">
        <f>M49*L50</f>
        <v>0</v>
      </c>
    </row>
    <row r="51" spans="1:14" ht="15" customHeight="1" x14ac:dyDescent="0.25">
      <c r="B51" s="165"/>
      <c r="C51" s="166"/>
      <c r="F51" s="41" t="s">
        <v>115</v>
      </c>
      <c r="G51" s="41"/>
      <c r="H51" s="30">
        <f>+H10</f>
        <v>632100</v>
      </c>
      <c r="J51" s="32"/>
      <c r="K51" s="160" t="s">
        <v>116</v>
      </c>
      <c r="L51" s="164">
        <v>0.04</v>
      </c>
      <c r="M51" s="7">
        <f>ROUND((M50+M49)*0.04,0)</f>
        <v>45080</v>
      </c>
    </row>
    <row r="52" spans="1:14" ht="15" customHeight="1" thickBot="1" x14ac:dyDescent="0.3">
      <c r="B52" s="167"/>
      <c r="C52" s="167"/>
      <c r="F52" s="154" t="s">
        <v>117</v>
      </c>
      <c r="G52" s="154"/>
      <c r="H52" s="168">
        <f>+H17</f>
        <v>579698</v>
      </c>
      <c r="J52" s="32"/>
      <c r="M52" s="169">
        <f>SUM(M49:M51)</f>
        <v>1172080</v>
      </c>
    </row>
    <row r="53" spans="1:14" ht="15" customHeight="1" thickTop="1" thickBot="1" x14ac:dyDescent="0.3">
      <c r="A53" s="150"/>
      <c r="B53" s="150"/>
      <c r="C53" s="151"/>
      <c r="D53" s="152"/>
      <c r="F53" s="170"/>
      <c r="G53" s="171" t="s">
        <v>118</v>
      </c>
      <c r="H53" s="172">
        <f>SUM(H50:H52)</f>
        <v>5901798</v>
      </c>
      <c r="I53" s="152"/>
      <c r="J53" s="38"/>
      <c r="K53" s="156"/>
      <c r="L53" s="173"/>
      <c r="M53" s="6"/>
      <c r="N53" s="6"/>
    </row>
    <row r="54" spans="1:14" ht="15" customHeight="1" thickTop="1" x14ac:dyDescent="0.25">
      <c r="A54" s="150"/>
      <c r="B54" s="156"/>
      <c r="C54" s="174"/>
      <c r="D54" s="152"/>
      <c r="I54" s="152"/>
      <c r="J54" s="38"/>
      <c r="K54" s="175" t="s">
        <v>111</v>
      </c>
      <c r="L54" s="176"/>
      <c r="M54" s="6"/>
      <c r="N54" s="6"/>
    </row>
    <row r="55" spans="1:14" ht="15" customHeight="1" x14ac:dyDescent="0.25">
      <c r="A55" s="150"/>
      <c r="B55" s="70"/>
      <c r="C55" s="161"/>
      <c r="D55" s="152"/>
      <c r="G55" s="26" t="s">
        <v>112</v>
      </c>
      <c r="H55" s="177">
        <f>ROUND(IF(H53&gt;1500000,(H53-1500000)*30%+187500,IF(H53&gt;1250000,(H53-1250000)*25%+125000,IF(H53&gt;1000000,(H53-1000000)*20%+75000,IF(H53&gt;750000,(H53-750000)*15%+37500,IF(H53&gt;500000,(H53-500000)*10%+12500, IF(H53&gt;250000,(H53-250000)*5%,0)))))),0)</f>
        <v>1508039</v>
      </c>
      <c r="I55" s="152"/>
      <c r="J55" s="38"/>
      <c r="K55" s="178" t="s">
        <v>119</v>
      </c>
      <c r="L55" s="179" t="s">
        <v>120</v>
      </c>
      <c r="M55" s="6"/>
      <c r="N55" s="6"/>
    </row>
    <row r="56" spans="1:14" ht="15" customHeight="1" x14ac:dyDescent="0.25">
      <c r="B56" s="165"/>
      <c r="C56" s="166"/>
      <c r="G56" s="26" t="s">
        <v>114</v>
      </c>
      <c r="H56" s="154">
        <f>ROUND(H55*0.1,0)</f>
        <v>150804</v>
      </c>
      <c r="J56" s="38"/>
      <c r="K56" s="178" t="s">
        <v>121</v>
      </c>
      <c r="L56" s="180">
        <v>0.05</v>
      </c>
    </row>
    <row r="57" spans="1:14" ht="15" customHeight="1" x14ac:dyDescent="0.25">
      <c r="B57" s="167"/>
      <c r="C57" s="167"/>
      <c r="H57" s="7">
        <f>H55+H56</f>
        <v>1658843</v>
      </c>
      <c r="J57" s="38"/>
      <c r="K57" s="178" t="s">
        <v>122</v>
      </c>
      <c r="L57" s="180">
        <v>0.1</v>
      </c>
    </row>
    <row r="58" spans="1:14" ht="15" customHeight="1" x14ac:dyDescent="0.25">
      <c r="B58" s="167"/>
      <c r="C58" s="181"/>
      <c r="G58" s="26" t="s">
        <v>116</v>
      </c>
      <c r="H58" s="7">
        <f>ROUND(H57*4%,0)</f>
        <v>66354</v>
      </c>
      <c r="J58" s="38"/>
      <c r="K58" s="178" t="s">
        <v>123</v>
      </c>
      <c r="L58" s="180">
        <v>0.15</v>
      </c>
    </row>
    <row r="59" spans="1:14" ht="15" customHeight="1" thickBot="1" x14ac:dyDescent="0.3">
      <c r="B59" s="167"/>
      <c r="C59" s="181"/>
      <c r="F59" s="170"/>
      <c r="G59" s="182" t="s">
        <v>124</v>
      </c>
      <c r="H59" s="183">
        <f>SUM(H57:H58)</f>
        <v>1725197</v>
      </c>
      <c r="J59" s="38"/>
      <c r="K59" s="178" t="s">
        <v>125</v>
      </c>
      <c r="L59" s="180">
        <v>0.2</v>
      </c>
    </row>
    <row r="60" spans="1:14" ht="15" customHeight="1" thickTop="1" x14ac:dyDescent="0.25">
      <c r="B60" s="167"/>
      <c r="C60" s="181"/>
      <c r="J60" s="38"/>
      <c r="K60" s="178" t="s">
        <v>126</v>
      </c>
      <c r="L60" s="180">
        <v>0.25</v>
      </c>
    </row>
    <row r="61" spans="1:14" ht="15" customHeight="1" thickBot="1" x14ac:dyDescent="0.3">
      <c r="B61" s="167"/>
      <c r="C61" s="181"/>
      <c r="J61" s="38"/>
      <c r="K61" s="178" t="s">
        <v>127</v>
      </c>
      <c r="L61" s="180">
        <v>0.3</v>
      </c>
    </row>
    <row r="62" spans="1:14" ht="15" customHeight="1" x14ac:dyDescent="0.25">
      <c r="B62" s="184" t="s">
        <v>128</v>
      </c>
      <c r="C62" s="185"/>
      <c r="D62" s="185"/>
      <c r="E62" s="185"/>
      <c r="F62" s="185"/>
      <c r="G62" s="186" t="s">
        <v>129</v>
      </c>
      <c r="H62" s="187"/>
      <c r="J62" s="38"/>
      <c r="K62" s="188" t="s">
        <v>130</v>
      </c>
      <c r="L62" s="189"/>
      <c r="M62" s="190" t="s">
        <v>131</v>
      </c>
      <c r="N62" s="162" t="s">
        <v>132</v>
      </c>
    </row>
    <row r="63" spans="1:14" ht="15" customHeight="1" x14ac:dyDescent="0.25">
      <c r="B63" s="191" t="s">
        <v>133</v>
      </c>
      <c r="C63" s="192"/>
      <c r="D63" s="192"/>
      <c r="E63" s="192"/>
      <c r="F63" s="192"/>
      <c r="G63" s="193"/>
      <c r="H63" s="194"/>
      <c r="J63" s="38"/>
      <c r="K63" s="195" t="s">
        <v>134</v>
      </c>
      <c r="L63" s="196"/>
      <c r="M63" s="190" t="s">
        <v>135</v>
      </c>
      <c r="N63" s="197" t="s">
        <v>136</v>
      </c>
    </row>
    <row r="64" spans="1:14" ht="15" customHeight="1" x14ac:dyDescent="0.25">
      <c r="B64" s="198" t="s">
        <v>137</v>
      </c>
      <c r="C64" s="192"/>
      <c r="D64" s="192"/>
      <c r="E64" s="199">
        <f>+H37</f>
        <v>1667426</v>
      </c>
      <c r="G64" s="192"/>
      <c r="I64" s="192"/>
      <c r="J64" s="38"/>
      <c r="K64" s="200" t="s">
        <v>138</v>
      </c>
      <c r="L64" s="201"/>
      <c r="M64" s="202" t="s">
        <v>139</v>
      </c>
      <c r="N64" s="197" t="s">
        <v>140</v>
      </c>
    </row>
    <row r="65" spans="1:14" ht="15" customHeight="1" thickBot="1" x14ac:dyDescent="0.3">
      <c r="B65" s="198" t="s">
        <v>141</v>
      </c>
      <c r="C65" s="192"/>
      <c r="D65" s="192"/>
      <c r="E65" s="199">
        <f>(G43)*-1</f>
        <v>-1180000</v>
      </c>
      <c r="G65" s="192"/>
      <c r="I65" s="192"/>
      <c r="J65" s="203"/>
      <c r="K65" s="204" t="s">
        <v>142</v>
      </c>
      <c r="L65" s="205"/>
      <c r="M65" s="202" t="s">
        <v>143</v>
      </c>
      <c r="N65" s="197" t="s">
        <v>144</v>
      </c>
    </row>
    <row r="66" spans="1:14" ht="15" customHeight="1" thickBot="1" x14ac:dyDescent="0.3">
      <c r="B66" s="198" t="s">
        <v>145</v>
      </c>
      <c r="C66" s="192"/>
      <c r="D66" s="192"/>
      <c r="E66" s="206">
        <f>E64+E65</f>
        <v>487426</v>
      </c>
      <c r="G66" s="192"/>
      <c r="I66" s="192"/>
      <c r="J66" s="203"/>
    </row>
    <row r="67" spans="1:14" ht="15" customHeight="1" thickTop="1" x14ac:dyDescent="0.25">
      <c r="C67" s="192"/>
      <c r="D67" s="192"/>
      <c r="E67" s="207">
        <f>IF(E66&gt;10000,E66,0)</f>
        <v>487426</v>
      </c>
      <c r="G67" s="192"/>
      <c r="J67" s="208"/>
    </row>
    <row r="68" spans="1:14" ht="25.5" customHeight="1" x14ac:dyDescent="0.25">
      <c r="B68" s="209" t="s">
        <v>146</v>
      </c>
      <c r="C68" s="210" t="s">
        <v>147</v>
      </c>
      <c r="D68" s="210" t="s">
        <v>148</v>
      </c>
      <c r="E68" s="210" t="s">
        <v>149</v>
      </c>
      <c r="F68" s="211" t="s">
        <v>150</v>
      </c>
      <c r="G68" s="212" t="s">
        <v>151</v>
      </c>
      <c r="H68" s="210" t="s">
        <v>152</v>
      </c>
      <c r="J68" s="208"/>
    </row>
    <row r="69" spans="1:14" ht="15" customHeight="1" x14ac:dyDescent="0.25">
      <c r="A69" s="213">
        <v>1</v>
      </c>
      <c r="B69" s="214"/>
      <c r="C69" s="215"/>
      <c r="D69" s="214">
        <v>43997</v>
      </c>
      <c r="E69" s="199">
        <f>E67*0.15</f>
        <v>73113.899999999994</v>
      </c>
      <c r="F69" s="199">
        <f>ROUNDDOWN(+E69,-2)</f>
        <v>73100</v>
      </c>
      <c r="G69" s="199">
        <f>(F69-C69)</f>
        <v>73100</v>
      </c>
      <c r="H69" s="216">
        <f>IF(G69&gt;0,G69*0.12/12*3,0)</f>
        <v>2193</v>
      </c>
      <c r="I69" s="217" t="s">
        <v>153</v>
      </c>
      <c r="J69" s="217"/>
      <c r="K69" s="218" t="s">
        <v>154</v>
      </c>
    </row>
    <row r="70" spans="1:14" ht="15" customHeight="1" x14ac:dyDescent="0.25">
      <c r="A70" s="213">
        <v>2</v>
      </c>
      <c r="B70" s="214"/>
      <c r="C70" s="215"/>
      <c r="D70" s="214">
        <v>44089</v>
      </c>
      <c r="E70" s="199">
        <f>E67*0.45</f>
        <v>219341.7</v>
      </c>
      <c r="F70" s="199">
        <f>ROUNDDOWN(+E70,-2)</f>
        <v>219300</v>
      </c>
      <c r="G70" s="199">
        <f>(F70-C70-C69)</f>
        <v>219300</v>
      </c>
      <c r="H70" s="216">
        <f>IF(G70&gt;0,G70*0.12/12*3,0)</f>
        <v>6579</v>
      </c>
      <c r="J70" s="219" t="s">
        <v>155</v>
      </c>
      <c r="K70" s="220" t="s">
        <v>156</v>
      </c>
    </row>
    <row r="71" spans="1:14" ht="15" customHeight="1" x14ac:dyDescent="0.25">
      <c r="A71" s="213">
        <v>3</v>
      </c>
      <c r="B71" s="214"/>
      <c r="C71" s="215"/>
      <c r="D71" s="214">
        <v>44180</v>
      </c>
      <c r="E71" s="199">
        <f>E67*0.75</f>
        <v>365569.5</v>
      </c>
      <c r="F71" s="199">
        <f>ROUNDDOWN(+E71,-2)</f>
        <v>365500</v>
      </c>
      <c r="G71" s="199">
        <f>(F71-(C69+C70+C71))</f>
        <v>365500</v>
      </c>
      <c r="H71" s="216">
        <f>IF(G71&gt;0,G71*0.12/12*3,0)</f>
        <v>10965</v>
      </c>
      <c r="J71" s="219" t="s">
        <v>157</v>
      </c>
      <c r="K71" s="220" t="str">
        <f>+K70</f>
        <v>NIL</v>
      </c>
    </row>
    <row r="72" spans="1:14" ht="15" customHeight="1" x14ac:dyDescent="0.25">
      <c r="A72" s="213">
        <v>4</v>
      </c>
      <c r="B72" s="214"/>
      <c r="C72" s="215"/>
      <c r="D72" s="214">
        <v>44270</v>
      </c>
      <c r="E72" s="199">
        <f>E67*1</f>
        <v>487426</v>
      </c>
      <c r="F72" s="199">
        <f>ROUNDDOWN(+E72,-2)</f>
        <v>487400</v>
      </c>
      <c r="G72" s="199">
        <f>(F72-(C69+C70+C71+C72))</f>
        <v>487400</v>
      </c>
      <c r="H72" s="216">
        <f>IF(G72&gt;0,G72*0.12/12,0)</f>
        <v>4874</v>
      </c>
      <c r="J72" s="219" t="s">
        <v>158</v>
      </c>
      <c r="K72" s="220" t="str">
        <f>+K70</f>
        <v>NIL</v>
      </c>
    </row>
    <row r="73" spans="1:14" ht="15" customHeight="1" x14ac:dyDescent="0.25">
      <c r="A73" s="213">
        <v>5</v>
      </c>
      <c r="B73" s="214"/>
      <c r="C73" s="215"/>
      <c r="D73" s="214">
        <v>44286</v>
      </c>
      <c r="F73" s="221"/>
      <c r="G73" s="221"/>
      <c r="H73" s="30"/>
      <c r="I73" s="221"/>
      <c r="J73" s="222"/>
      <c r="K73" s="223"/>
    </row>
    <row r="74" spans="1:14" ht="15" customHeight="1" thickBot="1" x14ac:dyDescent="0.3">
      <c r="B74" s="192"/>
      <c r="C74" s="224">
        <f>SUM(C69:C73)</f>
        <v>0</v>
      </c>
      <c r="D74" s="192"/>
      <c r="E74" s="192"/>
      <c r="F74" s="192"/>
      <c r="G74" s="192"/>
      <c r="H74" s="225" t="s">
        <v>156</v>
      </c>
      <c r="J74" s="8"/>
    </row>
    <row r="75" spans="1:14" ht="15" customHeight="1" thickTop="1" thickBot="1" x14ac:dyDescent="0.3">
      <c r="A75" s="226"/>
      <c r="B75" s="227"/>
      <c r="C75" s="228"/>
      <c r="D75" s="227"/>
      <c r="E75" s="227"/>
      <c r="F75" s="227"/>
      <c r="G75" s="227"/>
      <c r="H75" s="227"/>
      <c r="J75" s="8"/>
    </row>
    <row r="76" spans="1:14" ht="15" customHeight="1" x14ac:dyDescent="0.25">
      <c r="B76" s="191" t="s">
        <v>159</v>
      </c>
      <c r="C76" s="229"/>
      <c r="D76" s="192"/>
      <c r="E76" s="192"/>
      <c r="F76" s="192"/>
      <c r="G76" s="192"/>
      <c r="H76" s="208" t="s">
        <v>152</v>
      </c>
      <c r="J76" s="8"/>
    </row>
    <row r="77" spans="1:14" ht="15" customHeight="1" x14ac:dyDescent="0.25">
      <c r="B77" s="198" t="s">
        <v>137</v>
      </c>
      <c r="C77" s="192"/>
      <c r="D77" s="192"/>
      <c r="E77" s="199">
        <f>+E64</f>
        <v>1667426</v>
      </c>
      <c r="F77" s="192"/>
      <c r="G77" s="230">
        <v>44287</v>
      </c>
      <c r="H77" s="216"/>
      <c r="J77" s="8"/>
    </row>
    <row r="78" spans="1:14" ht="15" customHeight="1" x14ac:dyDescent="0.25">
      <c r="B78" s="231" t="s">
        <v>141</v>
      </c>
      <c r="C78" s="192"/>
      <c r="D78" s="192"/>
      <c r="E78" s="199">
        <f>+E65</f>
        <v>-1180000</v>
      </c>
      <c r="F78" s="192"/>
      <c r="G78" s="230">
        <v>44317</v>
      </c>
      <c r="H78" s="216"/>
      <c r="J78" s="8"/>
    </row>
    <row r="79" spans="1:14" ht="15" customHeight="1" thickBot="1" x14ac:dyDescent="0.3">
      <c r="B79" s="231"/>
      <c r="C79" s="192"/>
      <c r="D79" s="192"/>
      <c r="E79" s="206">
        <f>E77+E78</f>
        <v>487426</v>
      </c>
      <c r="G79" s="230">
        <v>44348</v>
      </c>
      <c r="H79" s="216">
        <f>+H78</f>
        <v>0</v>
      </c>
      <c r="J79" s="8"/>
    </row>
    <row r="80" spans="1:14" ht="15" customHeight="1" thickTop="1" x14ac:dyDescent="0.25">
      <c r="F80" s="192"/>
      <c r="G80" s="230">
        <v>44378</v>
      </c>
      <c r="H80" s="216">
        <f>+H78</f>
        <v>0</v>
      </c>
      <c r="J80" s="8"/>
    </row>
    <row r="81" spans="1:11" ht="15" customHeight="1" x14ac:dyDescent="0.25">
      <c r="B81" s="192" t="s">
        <v>160</v>
      </c>
      <c r="C81" s="229"/>
      <c r="D81" s="232">
        <v>0.9</v>
      </c>
      <c r="E81" s="233">
        <f>ROUND(E79*90%,0)</f>
        <v>438683</v>
      </c>
      <c r="F81" s="192"/>
      <c r="G81" s="230">
        <v>44409</v>
      </c>
      <c r="H81" s="216">
        <f>+H78</f>
        <v>0</v>
      </c>
      <c r="J81" s="8"/>
    </row>
    <row r="82" spans="1:11" ht="15" customHeight="1" x14ac:dyDescent="0.25">
      <c r="B82" s="192" t="s">
        <v>161</v>
      </c>
      <c r="C82" s="229"/>
      <c r="D82" s="192"/>
      <c r="E82" s="199">
        <f>ROUND(+C74,0)</f>
        <v>0</v>
      </c>
      <c r="F82" s="192"/>
      <c r="G82" s="230">
        <v>44440</v>
      </c>
      <c r="H82" s="234">
        <f>+H81</f>
        <v>0</v>
      </c>
      <c r="I82" s="235" t="s">
        <v>153</v>
      </c>
      <c r="J82" s="235"/>
      <c r="K82" s="157" t="s">
        <v>162</v>
      </c>
    </row>
    <row r="83" spans="1:11" ht="15" customHeight="1" x14ac:dyDescent="0.25">
      <c r="B83" s="7" t="s">
        <v>163</v>
      </c>
      <c r="C83" s="229"/>
      <c r="D83" s="192"/>
      <c r="E83" s="199">
        <f>E79-E82</f>
        <v>487426</v>
      </c>
      <c r="F83" s="199">
        <f>ROUNDDOWN(E83,-2)</f>
        <v>487400</v>
      </c>
      <c r="G83" s="230">
        <v>44470</v>
      </c>
      <c r="H83" s="234">
        <f>+H82</f>
        <v>0</v>
      </c>
      <c r="J83" s="236" t="s">
        <v>155</v>
      </c>
      <c r="K83" s="237" t="s">
        <v>156</v>
      </c>
    </row>
    <row r="84" spans="1:11" ht="15" customHeight="1" x14ac:dyDescent="0.25">
      <c r="B84" s="238">
        <v>44307</v>
      </c>
      <c r="C84" s="192" t="s">
        <v>164</v>
      </c>
      <c r="D84" s="192"/>
      <c r="E84" s="239">
        <f>+G42</f>
        <v>280000</v>
      </c>
      <c r="F84" s="192"/>
      <c r="G84" s="230">
        <v>44501</v>
      </c>
      <c r="J84" s="236" t="s">
        <v>157</v>
      </c>
      <c r="K84" s="237" t="s">
        <v>156</v>
      </c>
    </row>
    <row r="85" spans="1:11" ht="15" customHeight="1" x14ac:dyDescent="0.25">
      <c r="C85" s="25" t="s">
        <v>165</v>
      </c>
      <c r="E85" s="239"/>
      <c r="F85" s="192"/>
      <c r="G85" s="230">
        <v>44531</v>
      </c>
      <c r="H85" s="240"/>
      <c r="J85" s="236" t="s">
        <v>158</v>
      </c>
      <c r="K85" s="237" t="s">
        <v>156</v>
      </c>
    </row>
    <row r="86" spans="1:11" ht="15" customHeight="1" thickBot="1" x14ac:dyDescent="0.3">
      <c r="C86" s="198" t="s">
        <v>166</v>
      </c>
      <c r="E86" s="241">
        <f>E84-E85</f>
        <v>280000</v>
      </c>
      <c r="F86" s="192"/>
      <c r="G86" s="192"/>
      <c r="H86" s="225" t="s">
        <v>156</v>
      </c>
      <c r="J86" s="8"/>
    </row>
    <row r="87" spans="1:11" ht="15" customHeight="1" thickTop="1" x14ac:dyDescent="0.25">
      <c r="B87" s="7" t="s">
        <v>167</v>
      </c>
      <c r="C87" s="198"/>
      <c r="E87" s="242">
        <f>E83-E86</f>
        <v>207426</v>
      </c>
      <c r="F87" s="199">
        <f>ROUNDDOWN(E87,-2)</f>
        <v>207400</v>
      </c>
      <c r="G87" s="192"/>
      <c r="H87" s="240"/>
      <c r="J87" s="8"/>
    </row>
    <row r="88" spans="1:11" ht="15" customHeight="1" thickBot="1" x14ac:dyDescent="0.3">
      <c r="A88" s="226"/>
      <c r="B88" s="243"/>
      <c r="C88" s="244"/>
      <c r="D88" s="243"/>
      <c r="E88" s="245"/>
      <c r="F88" s="246"/>
      <c r="G88" s="227"/>
      <c r="H88" s="247"/>
      <c r="J88" s="8"/>
    </row>
    <row r="89" spans="1:11" ht="15" customHeight="1" x14ac:dyDescent="0.25">
      <c r="B89" s="191" t="s">
        <v>168</v>
      </c>
      <c r="C89" s="248"/>
      <c r="D89" s="248"/>
      <c r="E89" s="248"/>
      <c r="F89" s="248"/>
      <c r="G89" s="248"/>
      <c r="H89" s="248"/>
      <c r="I89" s="248"/>
      <c r="J89" s="240"/>
    </row>
    <row r="90" spans="1:11" ht="15" customHeight="1" x14ac:dyDescent="0.25">
      <c r="B90" s="198" t="s">
        <v>137</v>
      </c>
      <c r="C90" s="192"/>
      <c r="D90" s="192"/>
      <c r="E90" s="199">
        <f>+E64</f>
        <v>1667426</v>
      </c>
      <c r="F90" s="248"/>
      <c r="G90" s="192"/>
      <c r="H90" s="208" t="s">
        <v>152</v>
      </c>
      <c r="I90" s="248"/>
      <c r="J90" s="240"/>
    </row>
    <row r="91" spans="1:11" ht="15" customHeight="1" x14ac:dyDescent="0.25">
      <c r="B91" s="231" t="s">
        <v>141</v>
      </c>
      <c r="C91" s="192"/>
      <c r="D91" s="192"/>
      <c r="E91" s="199">
        <f>+E65</f>
        <v>-1180000</v>
      </c>
      <c r="F91" s="248"/>
      <c r="G91" s="230">
        <v>44409</v>
      </c>
      <c r="H91" s="216">
        <f>E97*0.01</f>
        <v>2074</v>
      </c>
      <c r="I91" s="248"/>
      <c r="J91" s="240"/>
    </row>
    <row r="92" spans="1:11" ht="15" customHeight="1" x14ac:dyDescent="0.25">
      <c r="B92" s="231" t="s">
        <v>169</v>
      </c>
      <c r="C92" s="192"/>
      <c r="D92" s="192"/>
      <c r="E92" s="199"/>
      <c r="F92" s="248"/>
      <c r="G92" s="230">
        <v>44440</v>
      </c>
      <c r="H92" s="216">
        <f>+H91</f>
        <v>2074</v>
      </c>
      <c r="I92" s="249" t="s">
        <v>153</v>
      </c>
      <c r="J92" s="249"/>
      <c r="K92" s="250" t="s">
        <v>170</v>
      </c>
    </row>
    <row r="93" spans="1:11" ht="15" customHeight="1" x14ac:dyDescent="0.25">
      <c r="B93" s="231" t="s">
        <v>171</v>
      </c>
      <c r="C93" s="192"/>
      <c r="D93" s="192"/>
      <c r="E93" s="50" t="str">
        <f>+H74</f>
        <v>NIL</v>
      </c>
      <c r="F93" s="248"/>
      <c r="G93" s="230">
        <v>44470</v>
      </c>
      <c r="H93" s="216">
        <f>+H92</f>
        <v>2074</v>
      </c>
      <c r="I93" s="248"/>
      <c r="J93" s="251" t="s">
        <v>172</v>
      </c>
      <c r="K93" s="252">
        <f>+H96</f>
        <v>8296</v>
      </c>
    </row>
    <row r="94" spans="1:11" ht="15" customHeight="1" x14ac:dyDescent="0.25">
      <c r="B94" s="231" t="s">
        <v>173</v>
      </c>
      <c r="C94" s="192"/>
      <c r="D94" s="192"/>
      <c r="E94" s="50" t="s">
        <v>156</v>
      </c>
      <c r="F94" s="248"/>
      <c r="G94" s="230">
        <v>44501</v>
      </c>
      <c r="H94" s="216">
        <v>2074</v>
      </c>
      <c r="I94" s="248"/>
      <c r="J94" s="251" t="s">
        <v>158</v>
      </c>
      <c r="K94" s="252">
        <f>K93+2074</f>
        <v>10370</v>
      </c>
    </row>
    <row r="95" spans="1:11" ht="15" customHeight="1" x14ac:dyDescent="0.25">
      <c r="B95" s="231" t="s">
        <v>174</v>
      </c>
      <c r="C95" s="192"/>
      <c r="D95" s="192"/>
      <c r="E95" s="30">
        <f>+G42*-1</f>
        <v>-280000</v>
      </c>
      <c r="F95" s="248"/>
      <c r="G95" s="230">
        <v>44531</v>
      </c>
      <c r="H95" s="216"/>
      <c r="I95" s="248"/>
      <c r="K95" s="252"/>
    </row>
    <row r="96" spans="1:11" ht="15" customHeight="1" thickBot="1" x14ac:dyDescent="0.3">
      <c r="E96" s="206">
        <f>SUM(E90:E95)</f>
        <v>207426</v>
      </c>
      <c r="F96" s="248"/>
      <c r="G96" s="253"/>
      <c r="H96" s="225">
        <f>SUM(H91:H95)</f>
        <v>8296</v>
      </c>
      <c r="I96" s="248"/>
      <c r="J96" s="240"/>
    </row>
    <row r="97" spans="1:12" ht="15" customHeight="1" thickTop="1" x14ac:dyDescent="0.25">
      <c r="C97" s="192"/>
      <c r="D97" s="192"/>
      <c r="E97" s="199">
        <f>ROUNDDOWN(+E96,-2)</f>
        <v>207400</v>
      </c>
      <c r="F97" s="248"/>
      <c r="G97" s="248"/>
      <c r="H97" s="248"/>
      <c r="I97" s="248"/>
      <c r="J97" s="240"/>
    </row>
    <row r="98" spans="1:12" ht="15" customHeight="1" x14ac:dyDescent="0.25">
      <c r="C98" s="192"/>
      <c r="D98" s="192"/>
      <c r="E98" s="199"/>
      <c r="F98" s="248"/>
      <c r="G98" s="248"/>
      <c r="H98" s="248"/>
      <c r="I98" s="248"/>
      <c r="J98" s="240"/>
    </row>
    <row r="99" spans="1:12" ht="15" customHeight="1" thickBot="1" x14ac:dyDescent="0.3">
      <c r="C99" s="192"/>
      <c r="D99" s="192"/>
      <c r="E99" s="199"/>
      <c r="F99" s="248"/>
      <c r="G99" s="248"/>
      <c r="H99" s="248"/>
      <c r="I99" s="248"/>
      <c r="J99" s="240"/>
    </row>
    <row r="100" spans="1:12" s="32" customFormat="1" ht="15" customHeight="1" x14ac:dyDescent="0.25">
      <c r="A100" s="254" t="s">
        <v>175</v>
      </c>
      <c r="B100" s="255"/>
      <c r="C100" s="255"/>
      <c r="D100" s="255"/>
      <c r="E100" s="255"/>
      <c r="F100" s="255"/>
      <c r="G100" s="256" t="s">
        <v>176</v>
      </c>
      <c r="H100" s="257"/>
      <c r="J100" s="38"/>
      <c r="K100" s="258"/>
      <c r="L100" s="46"/>
    </row>
    <row r="101" spans="1:12" s="32" customFormat="1" ht="15" customHeight="1" x14ac:dyDescent="0.25">
      <c r="A101" s="259" t="s">
        <v>177</v>
      </c>
      <c r="H101" s="84"/>
      <c r="J101" s="38"/>
      <c r="K101" s="260"/>
      <c r="L101" s="46"/>
    </row>
    <row r="102" spans="1:12" s="32" customFormat="1" ht="15" customHeight="1" x14ac:dyDescent="0.25">
      <c r="A102" s="259" t="s">
        <v>178</v>
      </c>
      <c r="H102" s="84"/>
      <c r="J102" s="38"/>
      <c r="K102" s="260"/>
      <c r="L102" s="46"/>
    </row>
    <row r="103" spans="1:12" s="32" customFormat="1" ht="15" customHeight="1" x14ac:dyDescent="0.2">
      <c r="A103" s="261" t="s">
        <v>179</v>
      </c>
      <c r="B103" s="262" t="s">
        <v>180</v>
      </c>
      <c r="C103" s="262"/>
      <c r="D103" s="262"/>
      <c r="E103" s="262"/>
      <c r="F103" s="262"/>
      <c r="G103" s="262"/>
      <c r="H103" s="263"/>
      <c r="I103" s="26"/>
      <c r="J103" s="38"/>
      <c r="K103" s="264" t="s">
        <v>181</v>
      </c>
      <c r="L103" s="46"/>
    </row>
    <row r="104" spans="1:12" s="32" customFormat="1" ht="26.25" customHeight="1" x14ac:dyDescent="0.2">
      <c r="A104" s="261" t="s">
        <v>182</v>
      </c>
      <c r="B104" s="262" t="s">
        <v>183</v>
      </c>
      <c r="C104" s="262"/>
      <c r="D104" s="262"/>
      <c r="E104" s="262"/>
      <c r="F104" s="262"/>
      <c r="G104" s="262"/>
      <c r="H104" s="263"/>
      <c r="I104" s="26"/>
      <c r="J104" s="38"/>
      <c r="K104" s="264" t="s">
        <v>184</v>
      </c>
      <c r="L104" s="46"/>
    </row>
    <row r="105" spans="1:12" s="32" customFormat="1" ht="26.25" customHeight="1" x14ac:dyDescent="0.2">
      <c r="A105" s="261" t="s">
        <v>185</v>
      </c>
      <c r="B105" s="262" t="s">
        <v>186</v>
      </c>
      <c r="C105" s="262"/>
      <c r="D105" s="262"/>
      <c r="E105" s="262"/>
      <c r="F105" s="262"/>
      <c r="G105" s="262"/>
      <c r="H105" s="263"/>
      <c r="I105" s="26"/>
      <c r="J105" s="38"/>
      <c r="K105" s="264" t="s">
        <v>187</v>
      </c>
      <c r="L105" s="46"/>
    </row>
    <row r="106" spans="1:12" s="32" customFormat="1" ht="26.25" customHeight="1" x14ac:dyDescent="0.2">
      <c r="A106" s="261" t="s">
        <v>188</v>
      </c>
      <c r="B106" s="262" t="s">
        <v>189</v>
      </c>
      <c r="C106" s="262"/>
      <c r="D106" s="262"/>
      <c r="E106" s="262"/>
      <c r="F106" s="262"/>
      <c r="G106" s="262"/>
      <c r="H106" s="263"/>
      <c r="I106" s="26"/>
      <c r="J106" s="38"/>
      <c r="K106" s="264" t="s">
        <v>190</v>
      </c>
      <c r="L106" s="46"/>
    </row>
    <row r="107" spans="1:12" s="32" customFormat="1" ht="15" customHeight="1" x14ac:dyDescent="0.2">
      <c r="A107" s="261" t="s">
        <v>191</v>
      </c>
      <c r="B107" s="262" t="s">
        <v>192</v>
      </c>
      <c r="C107" s="262"/>
      <c r="D107" s="262"/>
      <c r="E107" s="262"/>
      <c r="F107" s="262"/>
      <c r="G107" s="262"/>
      <c r="H107" s="263"/>
      <c r="I107" s="26"/>
      <c r="J107" s="38"/>
      <c r="K107" s="264" t="s">
        <v>193</v>
      </c>
      <c r="L107" s="46"/>
    </row>
    <row r="108" spans="1:12" s="32" customFormat="1" ht="15" customHeight="1" x14ac:dyDescent="0.2">
      <c r="A108" s="261" t="s">
        <v>194</v>
      </c>
      <c r="B108" s="262" t="s">
        <v>195</v>
      </c>
      <c r="C108" s="262"/>
      <c r="D108" s="262"/>
      <c r="E108" s="262"/>
      <c r="F108" s="262"/>
      <c r="G108" s="262"/>
      <c r="H108" s="263"/>
      <c r="I108" s="26"/>
      <c r="J108" s="38"/>
      <c r="K108" s="264" t="s">
        <v>196</v>
      </c>
      <c r="L108" s="46"/>
    </row>
    <row r="109" spans="1:12" s="32" customFormat="1" ht="25.5" customHeight="1" x14ac:dyDescent="0.2">
      <c r="A109" s="265"/>
      <c r="B109" s="266" t="s">
        <v>197</v>
      </c>
      <c r="C109" s="266"/>
      <c r="D109" s="266"/>
      <c r="E109" s="266"/>
      <c r="F109" s="266"/>
      <c r="G109" s="266"/>
      <c r="H109" s="267"/>
      <c r="J109" s="38"/>
    </row>
    <row r="110" spans="1:12" s="32" customFormat="1" ht="15" customHeight="1" thickBot="1" x14ac:dyDescent="0.25">
      <c r="A110" s="268"/>
      <c r="B110" s="269" t="s">
        <v>198</v>
      </c>
      <c r="C110" s="269"/>
      <c r="D110" s="269"/>
      <c r="E110" s="269"/>
      <c r="F110" s="269"/>
      <c r="G110" s="269"/>
      <c r="H110" s="270"/>
      <c r="J110" s="38"/>
    </row>
    <row r="111" spans="1:12" s="32" customFormat="1" ht="15" customHeight="1" thickBot="1" x14ac:dyDescent="0.25">
      <c r="A111" s="271"/>
      <c r="B111" s="272"/>
      <c r="C111" s="272"/>
      <c r="D111" s="272"/>
      <c r="E111" s="272"/>
      <c r="F111" s="272"/>
      <c r="G111" s="272"/>
      <c r="J111" s="38"/>
    </row>
    <row r="112" spans="1:12" s="32" customFormat="1" ht="15" customHeight="1" x14ac:dyDescent="0.25">
      <c r="A112" s="254" t="s">
        <v>175</v>
      </c>
      <c r="B112" s="273"/>
      <c r="C112" s="273"/>
      <c r="D112" s="273"/>
      <c r="E112" s="273"/>
      <c r="F112" s="273"/>
      <c r="G112" s="274" t="s">
        <v>199</v>
      </c>
      <c r="H112" s="275"/>
      <c r="J112" s="38"/>
    </row>
    <row r="113" spans="1:10" ht="15" customHeight="1" x14ac:dyDescent="0.25">
      <c r="A113" s="259" t="s">
        <v>200</v>
      </c>
      <c r="C113" s="177"/>
      <c r="D113" s="177"/>
      <c r="E113" s="177"/>
      <c r="F113" s="276"/>
      <c r="G113" s="277"/>
      <c r="H113" s="92"/>
      <c r="J113" s="38"/>
    </row>
    <row r="114" spans="1:10" ht="15" customHeight="1" x14ac:dyDescent="0.25">
      <c r="A114" s="259" t="s">
        <v>201</v>
      </c>
      <c r="C114" s="177"/>
      <c r="D114" s="177"/>
      <c r="E114" s="177"/>
      <c r="F114" s="276"/>
      <c r="G114" s="277"/>
      <c r="H114" s="92"/>
      <c r="J114" s="38"/>
    </row>
    <row r="115" spans="1:10" ht="15" customHeight="1" x14ac:dyDescent="0.25">
      <c r="A115" s="24"/>
      <c r="B115" s="278" t="s">
        <v>202</v>
      </c>
      <c r="D115" s="278" t="s">
        <v>203</v>
      </c>
      <c r="F115" s="276"/>
      <c r="G115" s="277"/>
      <c r="H115" s="92"/>
      <c r="J115" s="38"/>
    </row>
    <row r="116" spans="1:10" ht="15" customHeight="1" x14ac:dyDescent="0.25">
      <c r="A116" s="24"/>
      <c r="B116" s="278" t="s">
        <v>204</v>
      </c>
      <c r="D116" s="278" t="s">
        <v>205</v>
      </c>
      <c r="F116" s="276"/>
      <c r="G116" s="277"/>
      <c r="H116" s="92"/>
      <c r="J116" s="38"/>
    </row>
    <row r="117" spans="1:10" ht="15" customHeight="1" x14ac:dyDescent="0.25">
      <c r="A117" s="24"/>
      <c r="B117" s="278" t="s">
        <v>206</v>
      </c>
      <c r="D117" s="278" t="s">
        <v>207</v>
      </c>
      <c r="F117" s="276"/>
      <c r="G117" s="277"/>
      <c r="H117" s="92"/>
      <c r="J117" s="38"/>
    </row>
    <row r="118" spans="1:10" ht="15" customHeight="1" x14ac:dyDescent="0.25">
      <c r="A118" s="24"/>
      <c r="B118" s="279" t="s">
        <v>208</v>
      </c>
      <c r="D118" s="278" t="s">
        <v>209</v>
      </c>
      <c r="F118" s="276"/>
      <c r="G118" s="277"/>
      <c r="H118" s="92"/>
      <c r="J118" s="38"/>
    </row>
    <row r="119" spans="1:10" ht="15" customHeight="1" x14ac:dyDescent="0.25">
      <c r="A119" s="24"/>
      <c r="B119" s="278" t="s">
        <v>210</v>
      </c>
      <c r="D119" s="278" t="s">
        <v>211</v>
      </c>
      <c r="F119" s="276"/>
      <c r="G119" s="277"/>
      <c r="H119" s="92"/>
      <c r="J119" s="38"/>
    </row>
    <row r="120" spans="1:10" ht="15" customHeight="1" x14ac:dyDescent="0.25">
      <c r="A120" s="24"/>
      <c r="B120" s="278" t="s">
        <v>212</v>
      </c>
      <c r="D120" s="278" t="s">
        <v>213</v>
      </c>
      <c r="F120" s="276"/>
      <c r="G120" s="277"/>
      <c r="H120" s="92"/>
      <c r="J120" s="8"/>
    </row>
    <row r="121" spans="1:10" ht="15" customHeight="1" x14ac:dyDescent="0.25">
      <c r="A121" s="24"/>
      <c r="B121" s="279" t="s">
        <v>214</v>
      </c>
      <c r="D121" s="278" t="s">
        <v>215</v>
      </c>
      <c r="F121" s="276"/>
      <c r="G121" s="277"/>
      <c r="H121" s="92"/>
      <c r="J121" s="8"/>
    </row>
    <row r="122" spans="1:10" ht="15" customHeight="1" thickBot="1" x14ac:dyDescent="0.3">
      <c r="A122" s="280"/>
      <c r="B122" s="281" t="s">
        <v>216</v>
      </c>
      <c r="C122" s="243"/>
      <c r="D122" s="281" t="s">
        <v>217</v>
      </c>
      <c r="E122" s="243"/>
      <c r="F122" s="243"/>
      <c r="G122" s="243"/>
      <c r="H122" s="282"/>
      <c r="J122" s="8"/>
    </row>
    <row r="123" spans="1:10" ht="15" customHeight="1" thickBot="1" x14ac:dyDescent="0.3">
      <c r="J123" s="8"/>
    </row>
    <row r="124" spans="1:10" ht="15" customHeight="1" x14ac:dyDescent="0.25">
      <c r="B124" s="283" t="s">
        <v>218</v>
      </c>
      <c r="C124" s="284"/>
      <c r="D124" s="285"/>
      <c r="E124" s="286" t="s">
        <v>219</v>
      </c>
      <c r="F124" s="287"/>
      <c r="G124" s="286" t="s">
        <v>220</v>
      </c>
      <c r="H124" s="288"/>
      <c r="J124" s="8"/>
    </row>
    <row r="125" spans="1:10" ht="15" customHeight="1" x14ac:dyDescent="0.25">
      <c r="B125" s="289" t="s">
        <v>221</v>
      </c>
      <c r="C125" s="192"/>
      <c r="D125" s="208"/>
      <c r="E125" s="290" t="s">
        <v>222</v>
      </c>
      <c r="G125" s="290" t="s">
        <v>223</v>
      </c>
      <c r="H125" s="92"/>
      <c r="J125" s="8"/>
    </row>
    <row r="126" spans="1:10" ht="15" customHeight="1" x14ac:dyDescent="0.25">
      <c r="B126" s="289" t="s">
        <v>224</v>
      </c>
      <c r="C126" s="192"/>
      <c r="D126" s="208"/>
      <c r="E126" s="290" t="s">
        <v>225</v>
      </c>
      <c r="G126" s="290" t="s">
        <v>226</v>
      </c>
      <c r="H126" s="92"/>
      <c r="J126" s="8"/>
    </row>
    <row r="127" spans="1:10" ht="15" customHeight="1" x14ac:dyDescent="0.25">
      <c r="B127" s="289" t="s">
        <v>227</v>
      </c>
      <c r="C127" s="192"/>
      <c r="D127" s="208"/>
      <c r="E127" s="290" t="s">
        <v>228</v>
      </c>
      <c r="H127" s="92"/>
      <c r="J127" s="8"/>
    </row>
    <row r="128" spans="1:10" ht="15" customHeight="1" x14ac:dyDescent="0.25">
      <c r="B128" s="289" t="s">
        <v>229</v>
      </c>
      <c r="C128" s="192"/>
      <c r="D128" s="208"/>
      <c r="E128" s="290" t="s">
        <v>230</v>
      </c>
      <c r="H128" s="92"/>
      <c r="J128" s="8"/>
    </row>
    <row r="129" spans="2:10" ht="15" customHeight="1" x14ac:dyDescent="0.25">
      <c r="B129" s="289" t="s">
        <v>231</v>
      </c>
      <c r="C129" s="192"/>
      <c r="D129" s="208"/>
      <c r="H129" s="92"/>
      <c r="J129" s="8"/>
    </row>
    <row r="130" spans="2:10" ht="15" customHeight="1" x14ac:dyDescent="0.25">
      <c r="B130" s="289" t="s">
        <v>232</v>
      </c>
      <c r="C130" s="192"/>
      <c r="D130" s="208"/>
      <c r="H130" s="92"/>
      <c r="J130" s="8"/>
    </row>
    <row r="131" spans="2:10" ht="15" customHeight="1" x14ac:dyDescent="0.25">
      <c r="B131" s="289" t="s">
        <v>233</v>
      </c>
      <c r="C131" s="192"/>
      <c r="D131" s="291">
        <f>SUM(C125:C131)</f>
        <v>0</v>
      </c>
      <c r="H131" s="92"/>
      <c r="J131" s="8"/>
    </row>
    <row r="132" spans="2:10" ht="15" customHeight="1" x14ac:dyDescent="0.25">
      <c r="B132" s="292" t="s">
        <v>234</v>
      </c>
      <c r="C132" s="192"/>
      <c r="D132" s="177"/>
      <c r="E132" s="293"/>
      <c r="H132" s="92"/>
      <c r="J132" s="8"/>
    </row>
    <row r="133" spans="2:10" ht="15" customHeight="1" x14ac:dyDescent="0.25">
      <c r="B133" s="289" t="s">
        <v>235</v>
      </c>
      <c r="C133" s="294"/>
      <c r="D133" s="177"/>
      <c r="H133" s="92"/>
      <c r="J133" s="8"/>
    </row>
    <row r="134" spans="2:10" ht="15" customHeight="1" x14ac:dyDescent="0.25">
      <c r="B134" s="289" t="s">
        <v>236</v>
      </c>
      <c r="C134" s="294"/>
      <c r="D134" s="177"/>
      <c r="H134" s="92"/>
      <c r="J134" s="8"/>
    </row>
    <row r="135" spans="2:10" ht="15" customHeight="1" x14ac:dyDescent="0.25">
      <c r="B135" s="289" t="s">
        <v>237</v>
      </c>
      <c r="C135" s="294"/>
      <c r="D135" s="177">
        <f>SUM(C133:C135)</f>
        <v>0</v>
      </c>
      <c r="H135" s="92"/>
      <c r="J135" s="8"/>
    </row>
    <row r="136" spans="2:10" ht="15" customHeight="1" thickBot="1" x14ac:dyDescent="0.3">
      <c r="B136" s="295" t="s">
        <v>238</v>
      </c>
      <c r="C136" s="296"/>
      <c r="D136" s="297"/>
      <c r="E136" s="243"/>
      <c r="F136" s="243"/>
      <c r="G136" s="243"/>
      <c r="H136" s="282"/>
      <c r="J136" s="8"/>
    </row>
    <row r="137" spans="2:10" ht="15" customHeight="1" x14ac:dyDescent="0.25">
      <c r="B137" s="177"/>
      <c r="D137" s="298">
        <f>D131+D135+D136</f>
        <v>0</v>
      </c>
      <c r="J137" s="8"/>
    </row>
    <row r="138" spans="2:10" ht="15" customHeight="1" x14ac:dyDescent="0.25">
      <c r="J138" s="38"/>
    </row>
  </sheetData>
  <mergeCells count="25">
    <mergeCell ref="G112:H112"/>
    <mergeCell ref="B105:H105"/>
    <mergeCell ref="B106:H106"/>
    <mergeCell ref="B107:H107"/>
    <mergeCell ref="B108:H108"/>
    <mergeCell ref="B109:H109"/>
    <mergeCell ref="B110:G110"/>
    <mergeCell ref="I69:J69"/>
    <mergeCell ref="I82:J82"/>
    <mergeCell ref="I92:J92"/>
    <mergeCell ref="G100:H100"/>
    <mergeCell ref="B103:H103"/>
    <mergeCell ref="B104:H104"/>
    <mergeCell ref="C43:D43"/>
    <mergeCell ref="A46:I46"/>
    <mergeCell ref="A47:B47"/>
    <mergeCell ref="F47:I47"/>
    <mergeCell ref="K62:L62"/>
    <mergeCell ref="K64:L64"/>
    <mergeCell ref="A1:C1"/>
    <mergeCell ref="D1:H1"/>
    <mergeCell ref="A2:C2"/>
    <mergeCell ref="F2:G2"/>
    <mergeCell ref="C23:D23"/>
    <mergeCell ref="C42:E42"/>
  </mergeCells>
  <conditionalFormatting sqref="F31">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3-Nov</vt:lpstr>
      <vt:lpstr>'3-Nov'!Print_Area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2021-11-20T15:14:48Z</dcterms:created>
  <dcterms:modified xsi:type="dcterms:W3CDTF">2021-11-20T15:17:57Z</dcterms:modified>
</cp:coreProperties>
</file>